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30" windowWidth="15480" windowHeight="9090" tabRatio="989" activeTab="7"/>
  </bookViews>
  <sheets>
    <sheet name="Sheet1" sheetId="1" r:id="rId1"/>
    <sheet name="Russia-USSR" sheetId="2" r:id="rId2"/>
    <sheet name="IGNORE" sheetId="3" r:id="rId3"/>
    <sheet name="Production" sheetId="4" r:id="rId4"/>
    <sheet name="Strat Forces" sheetId="5" r:id="rId5"/>
    <sheet name="Foreign" sheetId="6" r:id="rId6"/>
    <sheet name="Nuke #" sheetId="7" r:id="rId7"/>
    <sheet name="FINAL TABLES!!!" sheetId="8" r:id="rId8"/>
    <sheet name="New Soviet Costs" sheetId="9" r:id="rId9"/>
    <sheet name="FY 2009 Budget" sheetId="10" r:id="rId10"/>
  </sheets>
  <definedNames/>
  <calcPr fullCalcOnLoad="1"/>
</workbook>
</file>

<file path=xl/comments2.xml><?xml version="1.0" encoding="utf-8"?>
<comments xmlns="http://schemas.openxmlformats.org/spreadsheetml/2006/main">
  <authors>
    <author> Online</author>
  </authors>
  <commentList>
    <comment ref="B10" authorId="0">
      <text>
        <r>
          <rPr>
            <sz val="10"/>
            <rFont val="Arial"/>
            <family val="0"/>
          </rPr>
          <t>Indicates that original data value is not to be overlaid with subsequent calculated data</t>
        </r>
      </text>
    </comment>
    <comment ref="B11" authorId="0">
      <text>
        <r>
          <rPr>
            <sz val="10"/>
            <rFont val="Arial"/>
            <family val="0"/>
          </rPr>
          <t>Indicates that original data value is not to be overlaid with subsequent calculated data</t>
        </r>
      </text>
    </comment>
    <comment ref="B12" authorId="0">
      <text>
        <r>
          <rPr>
            <sz val="10"/>
            <rFont val="Arial"/>
            <family val="0"/>
          </rPr>
          <t>Indicates that original data value is not to be overlaid with subsequent calculated data</t>
        </r>
      </text>
    </comment>
    <comment ref="B13" authorId="0">
      <text>
        <r>
          <rPr>
            <sz val="10"/>
            <rFont val="Arial"/>
            <family val="0"/>
          </rPr>
          <t>Indicates that original data value is not to be overlaid with subsequent calculated data</t>
        </r>
      </text>
    </comment>
    <comment ref="B14" authorId="0">
      <text>
        <r>
          <rPr>
            <sz val="10"/>
            <rFont val="Arial"/>
            <family val="0"/>
          </rPr>
          <t>Indicates that original data value is not to be overlaid with subsequent calculated data</t>
        </r>
      </text>
    </comment>
    <comment ref="B15" authorId="0">
      <text>
        <r>
          <rPr>
            <sz val="10"/>
            <rFont val="Arial"/>
            <family val="0"/>
          </rPr>
          <t>Indicates that original data value is not to be overlaid with subsequent calculated data</t>
        </r>
      </text>
    </comment>
    <comment ref="B16" authorId="0">
      <text>
        <r>
          <rPr>
            <sz val="10"/>
            <rFont val="Arial"/>
            <family val="0"/>
          </rPr>
          <t>Identifies the point at which multiple time series versions are linked by ratio splicing using all annual, quarterly, and monthly overlaps</t>
        </r>
      </text>
    </comment>
    <comment ref="D23" authorId="0">
      <text>
        <r>
          <rPr>
            <sz val="10"/>
            <rFont val="Arial"/>
            <family val="0"/>
          </rPr>
          <t>Indicates data that are new or have changed since previous issue of publication; does not indicate changes in dimension, unit, decimal, or the addition of countries to</t>
        </r>
      </text>
    </comment>
  </commentList>
</comments>
</file>

<file path=xl/sharedStrings.xml><?xml version="1.0" encoding="utf-8"?>
<sst xmlns="http://schemas.openxmlformats.org/spreadsheetml/2006/main" count="544" uniqueCount="292">
  <si>
    <t>Nuclear Proliferation Prospects</t>
  </si>
  <si>
    <t>GDP for current real and possible proliferators compared to Cold War superpower GDPs and their nuclear construction pace</t>
  </si>
  <si>
    <t>US NWs</t>
  </si>
  <si>
    <t>US Inc in NWs</t>
  </si>
  <si>
    <t>US GDP/Cap</t>
  </si>
  <si>
    <t>USSR NWs</t>
  </si>
  <si>
    <t>USSR Inc in NWs</t>
  </si>
  <si>
    <t>Year</t>
  </si>
  <si>
    <t>GP Total</t>
  </si>
  <si>
    <t>http://www.thebulletin.org/print_nn.php?art_ofn=ja06norris</t>
  </si>
  <si>
    <t>Sources:</t>
  </si>
  <si>
    <t>Global nuclear stockpiles, 1945-2006</t>
  </si>
  <si>
    <t>By Robert S. Norris and Hans M. Kristensen</t>
  </si>
  <si>
    <t>July/August 2006  pp. 64-66 (vol. 62, no. 4) ) © 2006 Bulletin of the Atomic Scientists</t>
  </si>
  <si>
    <t>Britain</t>
  </si>
  <si>
    <t>France</t>
  </si>
  <si>
    <t>China</t>
  </si>
  <si>
    <t>GDP</t>
  </si>
  <si>
    <t>GDP Cap</t>
  </si>
  <si>
    <t>Fr/Ch</t>
  </si>
  <si>
    <t>Argentina</t>
  </si>
  <si>
    <t>Brazil</t>
  </si>
  <si>
    <t>Egypt</t>
  </si>
  <si>
    <t>Germany</t>
  </si>
  <si>
    <t>India</t>
  </si>
  <si>
    <t>Current GDP/Cap</t>
  </si>
  <si>
    <t>Iran</t>
  </si>
  <si>
    <t>Iraq (1989)</t>
  </si>
  <si>
    <t>Iraq (2000)</t>
  </si>
  <si>
    <t>North Korea</t>
  </si>
  <si>
    <t>Pakistan</t>
  </si>
  <si>
    <t>Saudi Arabia</t>
  </si>
  <si>
    <t>Turkey</t>
  </si>
  <si>
    <t>UK</t>
  </si>
  <si>
    <t>South Korea</t>
  </si>
  <si>
    <t>Taiwan</t>
  </si>
  <si>
    <t xml:space="preserve">For current: </t>
  </si>
  <si>
    <t>https://www.cia.gov/cia/publications/factbook/index.html</t>
  </si>
  <si>
    <t>http://www.state.gov/r/pa/ei/bgn/</t>
  </si>
  <si>
    <t>http://www.whitehouse.gov/omb/budget/fy2007/pdf/hist.pdf</t>
  </si>
  <si>
    <t>IISS Military Balance</t>
  </si>
  <si>
    <t>http://www.thebulletin.org/nuclear_weapons_data/</t>
  </si>
  <si>
    <t>Israel</t>
  </si>
  <si>
    <t>Current GDP (Billion)</t>
  </si>
  <si>
    <t>FY 2000 (Chained) Price Index</t>
  </si>
  <si>
    <t>GDP                                  (in billions of dollars)</t>
  </si>
  <si>
    <t>GDP (Ajusted to FY 2000)</t>
  </si>
  <si>
    <t>2006 (est.)</t>
  </si>
  <si>
    <t>GDP (Adjusted to FY 2005)</t>
  </si>
  <si>
    <t>U.S. Population</t>
  </si>
  <si>
    <t>Population</t>
  </si>
  <si>
    <t>Pop. Inc.</t>
  </si>
  <si>
    <t>Annual Pop. Inc.</t>
  </si>
  <si>
    <t>2010 est.</t>
  </si>
  <si>
    <t>GDPpc (Adjusted to FY 2005)</t>
  </si>
  <si>
    <t>US GDP (Billion)</t>
  </si>
  <si>
    <t>FY 2005</t>
  </si>
  <si>
    <t xml:space="preserve">Source: CIA Factbook </t>
  </si>
  <si>
    <t>South Africa (1993)</t>
  </si>
  <si>
    <t>www.census.gov/population/censusdata/urpop0090.txt</t>
  </si>
  <si>
    <t>www.census.gov/ipc/www/usinterproj/natprojtab01a.pdf</t>
  </si>
  <si>
    <r>
      <t xml:space="preserve">Source: Annual Gross Domestic Product and Deflators from Office of Management and Budget, </t>
    </r>
    <r>
      <rPr>
        <i/>
        <sz val="8"/>
        <rFont val="Arial"/>
        <family val="0"/>
      </rPr>
      <t xml:space="preserve">Budget for Fiscal Year 2007, Historical Tables "Table 10.1 -- Gross Domestic Product and Deflators used in the Historical Tables: 1940-2011" p. 192-3; </t>
    </r>
    <r>
      <rPr>
        <sz val="8"/>
        <rFont val="Arial"/>
        <family val="0"/>
      </rPr>
      <t xml:space="preserve">U.S. Census Bureau (1940-1990 from </t>
    </r>
    <r>
      <rPr>
        <i/>
        <sz val="8"/>
        <rFont val="Arial"/>
        <family val="0"/>
      </rPr>
      <t>Urban and Rural Population: 1900 to 1990</t>
    </r>
    <r>
      <rPr>
        <sz val="8"/>
        <rFont val="Arial"/>
        <family val="0"/>
      </rPr>
      <t xml:space="preserve">, 2000 and 2010 from </t>
    </r>
    <r>
      <rPr>
        <i/>
        <sz val="8"/>
        <rFont val="Arial"/>
        <family val="0"/>
      </rPr>
      <t>Projected Population of the United States, by Race and Hispanic Origin: 2000 to 2050)</t>
    </r>
  </si>
  <si>
    <t>GDP in USD (millions)</t>
  </si>
  <si>
    <t>FY 2000 Deflator</t>
  </si>
  <si>
    <t>GDP (millions) Converted to USD FY2000</t>
  </si>
  <si>
    <t>GDP (millions) USD FY2000 Converted to FY2005</t>
  </si>
  <si>
    <t>GDPpc (USD FY2005)</t>
  </si>
  <si>
    <t>Then Population (millions)</t>
  </si>
  <si>
    <t>GDP (millions of Dinar)</t>
  </si>
  <si>
    <t>USD per Dinar (Then)</t>
  </si>
  <si>
    <t>Israel (1968)</t>
  </si>
  <si>
    <t>GDP (millions of Pounds)</t>
  </si>
  <si>
    <t>GDP Deflator (FY2000=100)</t>
  </si>
  <si>
    <t>GDP (millions of Rand)</t>
  </si>
  <si>
    <t>GDP Deflator for 1979 (FY2000=100)</t>
  </si>
  <si>
    <t>GDP (millions) FY1979</t>
  </si>
  <si>
    <t>Pound per USD (1979)</t>
  </si>
  <si>
    <t>FY1979 GDP  in USD FY1979 (millions)</t>
  </si>
  <si>
    <t>GDP in USD (millions) FY1993</t>
  </si>
  <si>
    <t>USD per Rand (1993)</t>
  </si>
  <si>
    <t>GDP FY1979 Converted to FY2000 (millions)</t>
  </si>
  <si>
    <t>GDP FY2000 Converted to FY2005</t>
  </si>
  <si>
    <t>USD FY1993 Converted to USD FY2000 (millions)</t>
  </si>
  <si>
    <t>USD FY2000 Converted to USD FY2005 (millions)</t>
  </si>
  <si>
    <r>
      <t xml:space="preserve">Source: International Monetary Fund, </t>
    </r>
    <r>
      <rPr>
        <i/>
        <sz val="8"/>
        <rFont val="Arial"/>
        <family val="2"/>
      </rPr>
      <t>International Financial Statistics</t>
    </r>
  </si>
  <si>
    <t>www.imf.org</t>
  </si>
  <si>
    <r>
      <t xml:space="preserve">Source: The Europa World Year Book 2006; International Monetary Fund, </t>
    </r>
    <r>
      <rPr>
        <i/>
        <sz val="8"/>
        <rFont val="Arial"/>
        <family val="2"/>
      </rPr>
      <t>International Financial Statistics</t>
    </r>
  </si>
  <si>
    <r>
      <t xml:space="preserve">Source: </t>
    </r>
    <r>
      <rPr>
        <sz val="8"/>
        <rFont val="Arial"/>
        <family val="2"/>
      </rPr>
      <t>U.S. Census Bureau (1940-1990 from Urban and Rural Population: 1900 to 1990, 2000 and 2010 from Projected Population of the United States, by Race and Hispanic Origin: 2000 to 2050)</t>
    </r>
  </si>
  <si>
    <r>
      <t xml:space="preserve">Note: Annual GDPs converted to FY2005 through deflators released by the Office of Management and Budget.  The United States Census Bureau releases the U.S. population report every ten years.  Population totals published by the Census Bureau are </t>
    </r>
    <r>
      <rPr>
        <u val="single"/>
        <sz val="8"/>
        <rFont val="Arial"/>
        <family val="2"/>
      </rPr>
      <t>underlined</t>
    </r>
    <r>
      <rPr>
        <sz val="8"/>
        <rFont val="Arial"/>
        <family val="2"/>
      </rPr>
      <t xml:space="preserve">, estimates for interim years are in </t>
    </r>
    <r>
      <rPr>
        <i/>
        <sz val="8"/>
        <rFont val="Arial"/>
        <family val="2"/>
      </rPr>
      <t>italics</t>
    </r>
    <r>
      <rPr>
        <sz val="8"/>
        <rFont val="Arial"/>
        <family val="2"/>
      </rPr>
      <t xml:space="preserve">.  </t>
    </r>
    <r>
      <rPr>
        <sz val="8"/>
        <rFont val="Arial"/>
        <family val="0"/>
      </rPr>
      <t>The population statistics above on years the report was released (e.g. 1940,1950, 1960, ect.) are U.S. population totals as released by the Census Bureau.  Population totals for all other years have been estimated by determining population increase over a ten-year release of the census findings (e.g. from 1950 to 1960), dividing the increment by ten, and adding it to the preceding year until the next year in which a census report was published.  GDPpc determined by dividing the annual GDPs in FY2005 by respective population totals.</t>
    </r>
  </si>
  <si>
    <t>Note: The United States Census Bureau releases the U.S. population report every ten years.  The population statistics above on years the report was released (e.g. 1940,1950, 1960, ect.) are U.S. population totals as released by the Census Bureau.  Population totals for all other years have been estimated by determining population increase over a ten-year release of the census findings (e.g. from 1950 to 1960), dividing the increment by ten, and adding it to the preceding year until the next year in which a census report was published.</t>
  </si>
  <si>
    <t>Source: USD deflators from Office of Management and Budget, Budget for Fiscal Year 2007, Historical Tables "Table 10.1 -- Gross Domestic Product and Deflators used in the Historical Tables: 1940-2011" p. 192-3; Population and all other conversion factors from IMF, International Financial Statistics</t>
  </si>
  <si>
    <r>
      <t xml:space="preserve">Source: Iraq (1989) GDP from IMF, International Financial Statistics; Iraq (2000) GDP from The Europa World Year Book, 2002; USD deflators from Office of Management and Budget, Budget for Fiscal Year 2007, Historical Tables "Table 10.1 -- Gross Domestic Product and Deflators used in the Historical Tables: 1940-2011" p. 192-3; Population and all other conversion factors from IMF, </t>
    </r>
    <r>
      <rPr>
        <i/>
        <sz val="8"/>
        <rFont val="Arial"/>
        <family val="2"/>
      </rPr>
      <t>International Financial Statistics</t>
    </r>
  </si>
  <si>
    <t>Note: Conversion of GDP to FY2005 USD by using conversion rates in respective years from Dinar to USD, and then using deflators to convert to FY2005; GDPpc determined dividing each GDP (FY2005 USD) by its population for each respective year.</t>
  </si>
  <si>
    <t>Note: Conversion of GDP to FY2005 USD by using conversion rate in 1993 from Rand to USD, and then using USD deflators to convert to FY2005; GDPpc determined dividing 1993 GDP (FY2005 USD) by the 1993 population.</t>
  </si>
  <si>
    <t>Note: Israel changed its currency in 1980 and the IMF does not have conversion rates from the Israeli Pound to USD in 1968.  To convert the FY1968 pound to FY2005  USD the FY1968 GDP (pound) was converted to FY1979 (pound) using Israeli deflators.  The GDP FY1979 (pound) was then converted to FY1979 USD using conversion rates for FY1979 from pounds to USD.  Using U.S. deflators, the Israeli 1968 GDP (now in FY1979 USD) was converted to FY2005 USD.  GDPpc determined by dividing the 1968 GDP (FY2005 USD) by the 1968 Israeli Population.</t>
  </si>
  <si>
    <t>IMF</t>
  </si>
  <si>
    <t>UNITS</t>
  </si>
  <si>
    <t>National Currency per U.S</t>
  </si>
  <si>
    <t>National Currency</t>
  </si>
  <si>
    <t>Units</t>
  </si>
  <si>
    <t>SCALE</t>
  </si>
  <si>
    <t>Billions</t>
  </si>
  <si>
    <t>Millions</t>
  </si>
  <si>
    <t>COUNTRYNAME</t>
  </si>
  <si>
    <t>RUSSIA</t>
  </si>
  <si>
    <t>COUNTRYCODE</t>
  </si>
  <si>
    <t>DATABASE</t>
  </si>
  <si>
    <t>IFS</t>
  </si>
  <si>
    <t>SERIESCODE</t>
  </si>
  <si>
    <t>922..AE.ZF...</t>
  </si>
  <si>
    <t>92299BP.ZF...</t>
  </si>
  <si>
    <t>92299Z..ZF...</t>
  </si>
  <si>
    <t>DESCRIPTOR</t>
  </si>
  <si>
    <t>OFFICIAL RATE</t>
  </si>
  <si>
    <t>GDP,PRODUCTION BASED</t>
  </si>
  <si>
    <t>POPULATION</t>
  </si>
  <si>
    <t>n.a.</t>
  </si>
  <si>
    <t>Easterly and Fisher</t>
  </si>
  <si>
    <t>The Soviet Economic Decline: Historical and Republican Data </t>
  </si>
  <si>
    <t>GNP (rubles)</t>
  </si>
  <si>
    <t>GNP (USD)</t>
  </si>
  <si>
    <t>GNP (FY2000)</t>
  </si>
  <si>
    <t>GNP (FY2005)</t>
  </si>
  <si>
    <t>GDP (USD)</t>
  </si>
  <si>
    <t>FY2000 deflators</t>
  </si>
  <si>
    <t>GDP FY2005</t>
  </si>
  <si>
    <t>GDP FY2000</t>
  </si>
  <si>
    <t>"Table 1: Population (at beginning of each year)" p. 6-7</t>
  </si>
  <si>
    <t>Population (Millions)</t>
  </si>
  <si>
    <t>World Almanac and Book of Facts</t>
  </si>
  <si>
    <t>Published Year</t>
  </si>
  <si>
    <t>GNP (Billion)</t>
  </si>
  <si>
    <t>Europa Yearbook</t>
  </si>
  <si>
    <t>Pub. Year</t>
  </si>
  <si>
    <t>Edition</t>
  </si>
  <si>
    <t>Volume</t>
  </si>
  <si>
    <t>R = USD</t>
  </si>
  <si>
    <t>0.9 = 1</t>
  </si>
  <si>
    <t>Statesman's Yearbook</t>
  </si>
  <si>
    <t>Exchange</t>
  </si>
  <si>
    <t>24.89R = 1 UK</t>
  </si>
  <si>
    <t>5.03US = 1 UK</t>
  </si>
  <si>
    <t>&lt;--THUS</t>
  </si>
  <si>
    <t>R = Ruble</t>
  </si>
  <si>
    <t>UK = British Pound</t>
  </si>
  <si>
    <t>US = US Dollar</t>
  </si>
  <si>
    <t>R per US</t>
  </si>
  <si>
    <t>FINAL POPULATION</t>
  </si>
  <si>
    <t>Sources: IMF, World Almanac and Book of Facts, Pockney (1991)</t>
  </si>
  <si>
    <r>
      <t xml:space="preserve">B.P. Pockney, </t>
    </r>
    <r>
      <rPr>
        <b/>
        <i/>
        <sz val="10"/>
        <rFont val="Arial"/>
        <family val="2"/>
      </rPr>
      <t xml:space="preserve">Soviet Statistics Since 1950 </t>
    </r>
    <r>
      <rPr>
        <b/>
        <sz val="10"/>
        <rFont val="Arial"/>
        <family val="2"/>
      </rPr>
      <t>(1991)</t>
    </r>
  </si>
  <si>
    <t>Pop. (Million)</t>
  </si>
  <si>
    <t>.74=1</t>
  </si>
  <si>
    <t>RUSSIA/U.S.S.R. FINAL</t>
  </si>
  <si>
    <t>N/A</t>
  </si>
  <si>
    <t>Population (Mil)</t>
  </si>
  <si>
    <t>Purchasing Power Parity</t>
  </si>
  <si>
    <t>Official Exchange Rate</t>
  </si>
  <si>
    <t>Note: Official Exchange Rate GDPpc determined by dividing OER GDP by the Population</t>
  </si>
  <si>
    <t>Note: All statistics based on Production Based GDP in USD FY2005</t>
  </si>
  <si>
    <t>Population FY2006 estimate</t>
  </si>
  <si>
    <t>Population FY2005 (EXPERIMENTAL)</t>
  </si>
  <si>
    <t>Note: Population for FY2005 determined by dividing GDP (PPP) by GDPpc (PPP)</t>
  </si>
  <si>
    <t>Note: GDP FY2005 determined by dividing production based GDP (current Ruble) by the official exchange rate the respective year.  It was then converted to FY2005 GDP by use of deflators</t>
  </si>
  <si>
    <t>Source: IMF, International Financial Statistics, Source: U.S. Census Bureau (1940-1990 from Urban and Rural Population: 1900 to 1990, 2000 and 2010 from Projected Population of the United States, by Race and Hispanic Origin: 2000 to 2050)</t>
  </si>
  <si>
    <t>Source: B.P. Pockney, Soviet Statistics Since 1950 (1991)</t>
  </si>
  <si>
    <t>Source: Source: World Almanac and Book of Facts years: 1947, 1948, 1971, 1984, 1990, 1991, 1993, and 1995</t>
  </si>
  <si>
    <t>Source: Europa Yearbook years: 1991, 1993</t>
  </si>
  <si>
    <t>Source: Statesman's Yearbook years: 1937 and 1938</t>
  </si>
  <si>
    <r>
      <t xml:space="preserve">Souce: GNP from Easterly and Fisher, </t>
    </r>
    <r>
      <rPr>
        <i/>
        <sz val="10"/>
        <rFont val="Arial"/>
        <family val="2"/>
      </rPr>
      <t>The Soviet Economic Decline: Historical and Republican Data</t>
    </r>
    <r>
      <rPr>
        <sz val="10"/>
        <rFont val="Arial"/>
        <family val="0"/>
      </rPr>
      <t>, 1994.  1937 exchange rate from Statesman's Yearbook (1937, 1938), 1970 and 1982 exchange rates from World Almanac and Book of Facts, years 1971 and 1984 respectively.  FY1937 deflators derived from U.S. Department of Commerce, Bureau of Economic Analysis, "NIPA Table 1.1.5 Gross Domestic Product (A) (Q)," "NIPA Table 1.1.6. Real Gross Domestic Product, Chained Dollars (A) (Q)" http://www.bea.gov/bea/dn/nipaweb/SelectTable.asp?Popular=Y.  FY1970 and FY1982 deflators from U.S. Census Bureau (1940-1990 from Urban and Rural Population: 1900 to 1990, 2000 and 2010 from Projected Population of the United States, by Race and Hispanic Origin: 2000 to 2050)</t>
    </r>
  </si>
  <si>
    <r>
      <t xml:space="preserve">Note: Numbers in </t>
    </r>
    <r>
      <rPr>
        <i/>
        <sz val="10"/>
        <rFont val="Arial"/>
        <family val="2"/>
      </rPr>
      <t>italics</t>
    </r>
    <r>
      <rPr>
        <sz val="10"/>
        <rFont val="Arial"/>
        <family val="2"/>
      </rPr>
      <t xml:space="preserve"> are constant to FY1937, numbers in </t>
    </r>
    <r>
      <rPr>
        <b/>
        <sz val="10"/>
        <rFont val="Arial"/>
        <family val="2"/>
      </rPr>
      <t>bold</t>
    </r>
    <r>
      <rPr>
        <sz val="10"/>
        <rFont val="Arial"/>
        <family val="2"/>
      </rPr>
      <t xml:space="preserve"> are constant to FY1970, and </t>
    </r>
    <r>
      <rPr>
        <u val="single"/>
        <sz val="10"/>
        <rFont val="Arial"/>
        <family val="2"/>
      </rPr>
      <t>underlined</t>
    </r>
    <r>
      <rPr>
        <sz val="10"/>
        <rFont val="Arial"/>
        <family val="2"/>
      </rPr>
      <t xml:space="preserve"> numbers are constant to FY1982.  FY2005 GNP determined by dividing GNPs by exchange rates for respective years.  Constant GNPs then converted to FY2005 through deflators</t>
    </r>
  </si>
  <si>
    <t>Note: Current GNPs converted to FY2005 GNP through use of deflators</t>
  </si>
  <si>
    <r>
      <t xml:space="preserve">Source: GNPs from World Almanac and Book of Facts (1991, 1995), Europa Yearbook (1991). Deflators from </t>
    </r>
    <r>
      <rPr>
        <sz val="10"/>
        <rFont val="Arial"/>
        <family val="2"/>
      </rPr>
      <t>U.S. Census Bureau (1940-1990 from Urban and Rural Population: 1900 to 1990, 2000 and 2010 from Projected Population of the United States, by Race and Hispanic Origin: 2000 to 2050)</t>
    </r>
  </si>
  <si>
    <t>Source: For list of sources, see charts above</t>
  </si>
  <si>
    <t>Population Estimates of 1948 and 1949</t>
  </si>
  <si>
    <t>Population increase between 1947 and 1950:</t>
  </si>
  <si>
    <t>Pop Inc. (millions)</t>
  </si>
  <si>
    <t>Average annual increase (Pop Inc. divided by 4)</t>
  </si>
  <si>
    <t>Given Pop (Mil)</t>
  </si>
  <si>
    <t>Estimated Pop (Mil)</t>
  </si>
  <si>
    <r>
      <t xml:space="preserve">Source: 1947 Population from World Almanac and Book of Facts (1948), 1950 Population from </t>
    </r>
    <r>
      <rPr>
        <sz val="10"/>
        <rFont val="Arial"/>
        <family val="2"/>
      </rPr>
      <t>B.P. Pockney, Soviet Statistics Since 1950 (1991)</t>
    </r>
  </si>
  <si>
    <t>Note: 1948 and 1949 populations estimated by determining the population increase from 1947 to 1950.  The average annual increase determined by divding the total increase by four.  The average annual increase was then added to 1947 to determine the 1948 population, and added again to the 1948 population to determine the 1949 population</t>
  </si>
  <si>
    <t>Note: Years 1945-1991are GNP, from 1992-2005 are Production Based GDP.  For all other notes, see charts above</t>
  </si>
  <si>
    <t>USSR  GNP/GDP (Billion)</t>
  </si>
  <si>
    <t>USSR GNP/GDP/Cap</t>
  </si>
  <si>
    <t>GNP/GDP (Billion)</t>
  </si>
  <si>
    <t>GNP/GDPpc (Thousand)</t>
  </si>
  <si>
    <t>Note: USSR years 1945-1991are GNP, from 1992-2005 are Production Based GDP</t>
  </si>
  <si>
    <t>Estimated Annual AEC/ERDA/DOE Spending on Nuclear Weapons Research, Development, Testing, and Production (R&amp;D, Testing, Production, Operating Expenses, Construction and Capital Equipment)</t>
  </si>
  <si>
    <t>Estimated Annual AEC/ERDA/DOE Spending on Nuclear Weapons Materials (Operating Expenses, Materials Procurement, Construction and Capital Equipment)</t>
  </si>
  <si>
    <t>Total Estimated Expenses</t>
  </si>
  <si>
    <t>Total Estimated Expenses FY2000</t>
  </si>
  <si>
    <t>Deflator to FY2000</t>
  </si>
  <si>
    <t>Estimated Annual AEC/ERDA/DOE Spending on Nuclear Weapons Materials (FY2005)</t>
  </si>
  <si>
    <t>Estimated Annual AEC/ERDA/DOE Spending on Nuclear Weapons Research, Development, Testing, and Production (FY2005)</t>
  </si>
  <si>
    <t>Total Estimated Expenses (FY2005)</t>
  </si>
  <si>
    <t>Percent of GDP</t>
  </si>
  <si>
    <t>Cost PerCapita (FY2005)</t>
  </si>
  <si>
    <t>GDP (FY2005) Billion</t>
  </si>
  <si>
    <t>GDP (FY2005) Million</t>
  </si>
  <si>
    <t>GDPpc (FY2005)</t>
  </si>
  <si>
    <t>Average Annual Expense</t>
  </si>
  <si>
    <t>Price Index Chained to FY2000</t>
  </si>
  <si>
    <t>Source: Bureau of Economic Analysis, National Income and Product Accounts Table 1.1.4. "Price Indexes for Gross Domestic Product"</t>
  </si>
  <si>
    <r>
      <t xml:space="preserve">Source: Estimated Annual AEC/ERDA/DOE Spending on Nuclear Weapons Materials (Operating Expenses, Materials Procurement, Construction and Capital Equipment) and Estimated Annual AEC/ERDA/DOE Spending on Nuclear Weapons Research, Development, Testing, and Production (R&amp;D, Testing, Production, Operating Expenses, Construction and Capital Equipment) from Stephen I. Schwartz, </t>
    </r>
    <r>
      <rPr>
        <i/>
        <sz val="10"/>
        <rFont val="Arial"/>
        <family val="2"/>
      </rPr>
      <t>Atomic Audit: The Costs and Consequences of U.S. Nuclear Weapons since 1940, (</t>
    </r>
    <r>
      <rPr>
        <sz val="10"/>
        <rFont val="Arial"/>
        <family val="2"/>
      </rPr>
      <t>1998)</t>
    </r>
    <r>
      <rPr>
        <i/>
        <sz val="10"/>
        <rFont val="Arial"/>
        <family val="2"/>
      </rPr>
      <t xml:space="preserve"> </t>
    </r>
    <r>
      <rPr>
        <sz val="10"/>
        <rFont val="Arial"/>
        <family val="2"/>
      </rPr>
      <t>Brookings Institution Press, Washington D.C., pages 560 and 562 respectively; GDP and GDP deflators from Annual Gross Domestic Product and Deflators from Office of Management and Budget, Budget for Fiscal Year 2007, Historical Tables "Table 10.1 -- Gross Domestic Product and Deflators used in the Historical Tables: 1940-2011" p. 192-3; Population from U.S. Census Bureau (1940-1990 from Urban and Rural Population: 1900 to 1990, 2000 and 2010 from Projected Population of the United States, by Race and Hispanic Origin: 2000 to 2050)</t>
    </r>
  </si>
  <si>
    <t>Note: All figures in Millions of USD.  Figures converted to FY2005 through deflators</t>
  </si>
  <si>
    <t>United States Average Annual Expense Applied to Other Countries</t>
  </si>
  <si>
    <t>Cost Per Capita</t>
  </si>
  <si>
    <t>Russia</t>
  </si>
  <si>
    <t>0.35%</t>
  </si>
  <si>
    <t xml:space="preserve">U.S. Average Annual Expense: 1951-1965 (Billion) [AAE] </t>
  </si>
  <si>
    <t>TABLE 2 in Paper</t>
  </si>
  <si>
    <t>Table 1 in Paper</t>
  </si>
  <si>
    <t>Gross Increase in Nuclear Weapons</t>
  </si>
  <si>
    <t>Cost per Bomb</t>
  </si>
  <si>
    <t xml:space="preserve">Estimated Annual AEC/ERDA/DOE Spending on Nuclear Weapons Materials </t>
  </si>
  <si>
    <t>Estimated Annual AEC/ERDA/DOE Spending on Nuclear Weapons Research, Development, Testing, and Production</t>
  </si>
  <si>
    <t>Cost PerCapita</t>
  </si>
  <si>
    <t>Costs in USD FY2005 MILLIONS</t>
  </si>
  <si>
    <t>FY1988</t>
  </si>
  <si>
    <t>FY2000</t>
  </si>
  <si>
    <t>FY2005</t>
  </si>
  <si>
    <t>Total Est. Costs of US Strategic Forces</t>
  </si>
  <si>
    <t>Total</t>
  </si>
  <si>
    <t>Average</t>
  </si>
  <si>
    <t>GDP FY2005 Bil</t>
  </si>
  <si>
    <t>US Pop</t>
  </si>
  <si>
    <t>Total Costs</t>
  </si>
  <si>
    <t>Percent of GDP (Low)</t>
  </si>
  <si>
    <t>Cost Per Capita (Low)</t>
  </si>
  <si>
    <t>Percent of GDP (High)</t>
  </si>
  <si>
    <t>Cost Per Capita (High)</t>
  </si>
  <si>
    <t>*****************************************************************</t>
  </si>
  <si>
    <t>Total Est. Costs of US Strategic Forces (Billions)</t>
  </si>
  <si>
    <t>Billion PPP</t>
  </si>
  <si>
    <t>Year 2005</t>
  </si>
  <si>
    <t>Year 2007</t>
  </si>
  <si>
    <t>GDP 2005</t>
  </si>
  <si>
    <t>GDP 2007 billion</t>
  </si>
  <si>
    <t>GDP 2007 Million</t>
  </si>
  <si>
    <t>Spending True</t>
  </si>
  <si>
    <t>Cost per Bomb (Millions)</t>
  </si>
  <si>
    <t>Total Estimated Expenses (Millions)</t>
  </si>
  <si>
    <t>Estimated Annual AEC/ERDA/DOE Spending on Nuclear Weapons Research, Development, Testing, and Production (Millions)</t>
  </si>
  <si>
    <t>Estimated Annual AEC/ERDA/DOE Spending on Nuclear Weapons Materials (Millions)</t>
  </si>
  <si>
    <t>---</t>
  </si>
  <si>
    <t>GDP PPP Billion</t>
  </si>
  <si>
    <t>true gdp</t>
  </si>
  <si>
    <t>gdp pc</t>
  </si>
  <si>
    <t>GDP per Capita</t>
  </si>
  <si>
    <t>Cost per Capita (High)</t>
  </si>
  <si>
    <t>Cost per Capita (Low)</t>
  </si>
  <si>
    <t>FY 2007</t>
  </si>
  <si>
    <t>United Kingdom</t>
  </si>
  <si>
    <t>United States</t>
  </si>
  <si>
    <t>2: Union of Concerned Scientists "Worldwide Nuclear Arsenals" (July 2007) http://www.ucsusa.org/global_security/nuclear_weapons/worldwide-nuclear-arsenals.html [Accessed 3/18/2007]</t>
  </si>
  <si>
    <t>3: Federation of American Scientists "Status of Nuclear Weapons States and Their Nuclear Capabilities" (March 2008) http://www.fas.org/nuke/guide/summary.htm [Accessed 3/18/2008]</t>
  </si>
  <si>
    <t>Note: For sources using a possible range in the prediction of nuclear arsenals, the median was used.</t>
  </si>
  <si>
    <t>1: Center for Defense Information "The World's Nuclear Arsenals" (4/30/2007) http://www.cdi.org/program/issue/document.cfm?DocumentID=2972&amp;IssueID=46&amp;StartRow=1&amp;ListRows=10&amp;appendURL=&amp;Orderby=DateLastUpdated&amp;ProgramID=32&amp;issueID=46 [Accessed 3/18/2008]</t>
  </si>
  <si>
    <t>Country</t>
  </si>
  <si>
    <t>CDI.org</t>
  </si>
  <si>
    <t>ucsusa.org</t>
  </si>
  <si>
    <t>fas.org</t>
  </si>
  <si>
    <t>Table 1: Estimates of Current World Arsenals (Deployed Warheads)</t>
  </si>
  <si>
    <t>2000 a year</t>
  </si>
  <si>
    <t>100 a year</t>
  </si>
  <si>
    <t>100 per year</t>
  </si>
  <si>
    <t>2000 per year</t>
  </si>
  <si>
    <t>Deflator to 2000</t>
  </si>
  <si>
    <t>Deflator to 2007</t>
  </si>
  <si>
    <t>GDP FY2007</t>
  </si>
  <si>
    <t>Table 10.1—GROSS DOMESTIC PRODUCT AND DEFLATORS USED IN THE HISTORICAL TABLES: 1940–2013—Continued</t>
  </si>
  <si>
    <t>THE BUDGET FOR FISCAL YEAR 2009, HISTORICAL TABLES page 195</t>
  </si>
  <si>
    <t>SAME</t>
  </si>
  <si>
    <t>DIFF</t>
  </si>
  <si>
    <t>Startup Estimates</t>
  </si>
  <si>
    <t>China (FY1996)</t>
  </si>
  <si>
    <t>India 1 (FY1985)</t>
  </si>
  <si>
    <t>India 2 (FY1987)</t>
  </si>
  <si>
    <t>India 3 (FY1987)</t>
  </si>
  <si>
    <t>Estimated Costs (Then) Billions</t>
  </si>
  <si>
    <t>Costs FY2000 (Billions)</t>
  </si>
  <si>
    <t>Costs FY2007 (Billions)</t>
  </si>
  <si>
    <t>SCROLL RIGHT</t>
  </si>
  <si>
    <t>Strategic Offense</t>
  </si>
  <si>
    <t>Strategic Defense</t>
  </si>
  <si>
    <t>1960-69</t>
  </si>
  <si>
    <t>1982 Rubles</t>
  </si>
  <si>
    <t>1951-59</t>
  </si>
  <si>
    <t>Ruble --&gt; USD</t>
  </si>
  <si>
    <t>1982 USD</t>
  </si>
  <si>
    <t>AVERAGE ANNUAL SPENDING (Billions)</t>
  </si>
  <si>
    <t>Syria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</si>
</sst>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
    <numFmt numFmtId="166" formatCode="_(* #,##0.0_);_(* \(#,##0.0\);_(* &quot;-&quot;??_);_(@_)"/>
    <numFmt numFmtId="167" formatCode="_(* #,##0.000_);_(* \(#,##0.000\);_(* &quot;-&quot;??_);_(@_)"/>
    <numFmt numFmtId="168" formatCode="_(* #,##0.0000_);_(* \(#,##0.0000\);_(* &quot;-&quot;??_);_(@_)"/>
    <numFmt numFmtId="169" formatCode="_(* #,##0.0000_);_(* \(#,##0.0000\);_(* &quot;-&quot;????_);_(@_)"/>
    <numFmt numFmtId="170" formatCode="_(* #,##0_);_(* \(#,##0\);_(* &quot;-&quot;??_);_(@_)"/>
    <numFmt numFmtId="171" formatCode="_(* #,##0.0_);_(* \(#,##0.0\);_(* &quot;-&quot;?_);_(@_)"/>
    <numFmt numFmtId="172" formatCode="0.000"/>
    <numFmt numFmtId="173" formatCode="0.0000"/>
    <numFmt numFmtId="174" formatCode="0.00000"/>
    <numFmt numFmtId="175" formatCode="0.000000"/>
    <numFmt numFmtId="176" formatCode="0.0000000"/>
    <numFmt numFmtId="177" formatCode="_(&quot;$&quot;* #,##0.0_);_(&quot;$&quot;* \(#,##0.0\);_(&quot;$&quot;* &quot;-&quot;??_);_(@_)"/>
    <numFmt numFmtId="178" formatCode="[$-409]dddd\,\ mmmm\ dd\,\ yyyy"/>
    <numFmt numFmtId="179" formatCode="0_)"/>
    <numFmt numFmtId="180" formatCode="0.00_)"/>
    <numFmt numFmtId="181" formatCode="0.0_)"/>
    <numFmt numFmtId="182" formatCode="&quot;Yes&quot;;&quot;Yes&quot;;&quot;No&quot;"/>
    <numFmt numFmtId="183" formatCode="&quot;True&quot;;&quot;True&quot;;&quot;False&quot;"/>
    <numFmt numFmtId="184" formatCode="&quot;On&quot;;&quot;On&quot;;&quot;Off&quot;"/>
    <numFmt numFmtId="185" formatCode="[$€-2]\ #,##0.00_);[Red]\([$€-2]\ #,##0.00\)"/>
    <numFmt numFmtId="186" formatCode="0.00000000"/>
    <numFmt numFmtId="187" formatCode="0.000000000"/>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_);_(* \(#,##0.00000\);_(* &quot;-&quot;?????_);_(@_)"/>
    <numFmt numFmtId="193" formatCode="#,##0.0000_);\(#,##0.0000\)"/>
    <numFmt numFmtId="194" formatCode="_(&quot;$&quot;* #,##0.0000_);_(&quot;$&quot;* \(#,##0.0000\);_(&quot;$&quot;* &quot;-&quot;????_);_(@_)"/>
    <numFmt numFmtId="195" formatCode="0.0%"/>
    <numFmt numFmtId="196" formatCode="0.000%"/>
    <numFmt numFmtId="197" formatCode="0.0000%"/>
    <numFmt numFmtId="198" formatCode="[$-409]h:mm:ss\ AM/PM"/>
    <numFmt numFmtId="199" formatCode="_(&quot;$&quot;* #,##0.000_);_(&quot;$&quot;* \(#,##0.000\);_(&quot;$&quot;* &quot;-&quot;??_);_(@_)"/>
  </numFmts>
  <fonts count="18">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8"/>
      <name val="Arial"/>
      <family val="0"/>
    </font>
    <font>
      <b/>
      <i/>
      <sz val="16"/>
      <name val="Arial"/>
      <family val="2"/>
    </font>
    <font>
      <u val="single"/>
      <sz val="10"/>
      <name val="Arial"/>
      <family val="0"/>
    </font>
    <font>
      <i/>
      <sz val="10"/>
      <name val="Arial"/>
      <family val="2"/>
    </font>
    <font>
      <u val="single"/>
      <sz val="8"/>
      <name val="Arial"/>
      <family val="2"/>
    </font>
    <font>
      <sz val="10"/>
      <color indexed="8"/>
      <name val="Arial"/>
      <family val="2"/>
    </font>
    <font>
      <i/>
      <sz val="10"/>
      <color indexed="12"/>
      <name val="Arial"/>
      <family val="2"/>
    </font>
    <font>
      <b/>
      <i/>
      <u val="single"/>
      <sz val="10"/>
      <name val="Arial"/>
      <family val="2"/>
    </font>
    <font>
      <b/>
      <i/>
      <sz val="10"/>
      <name val="Arial"/>
      <family val="2"/>
    </font>
    <font>
      <b/>
      <i/>
      <u val="singleAccounting"/>
      <sz val="10"/>
      <name val="Arial"/>
      <family val="2"/>
    </font>
    <font>
      <sz val="9"/>
      <name val="Times New Roman"/>
      <family val="1"/>
    </font>
    <font>
      <b/>
      <i/>
      <u val="single"/>
      <sz val="16"/>
      <name val="Arial"/>
      <family val="2"/>
    </font>
    <font>
      <b/>
      <sz val="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6" fontId="0" fillId="0" borderId="0" xfId="0" applyNumberFormat="1" applyAlignment="1">
      <alignment/>
    </xf>
    <xf numFmtId="164" fontId="0" fillId="0" borderId="0" xfId="0" applyNumberFormat="1" applyAlignment="1">
      <alignment/>
    </xf>
    <xf numFmtId="0" fontId="0" fillId="0" borderId="0" xfId="0" applyAlignment="1">
      <alignment wrapText="1"/>
    </xf>
    <xf numFmtId="2" fontId="0" fillId="0" borderId="0" xfId="0" applyNumberFormat="1" applyAlignment="1">
      <alignment/>
    </xf>
    <xf numFmtId="166" fontId="0" fillId="0" borderId="0" xfId="15" applyNumberFormat="1" applyAlignment="1">
      <alignment/>
    </xf>
    <xf numFmtId="168" fontId="0" fillId="0" borderId="0" xfId="15" applyNumberFormat="1" applyAlignment="1">
      <alignment/>
    </xf>
    <xf numFmtId="0" fontId="4" fillId="0" borderId="0" xfId="0" applyFont="1" applyAlignment="1">
      <alignment wrapText="1"/>
    </xf>
    <xf numFmtId="166" fontId="4" fillId="0" borderId="0" xfId="15" applyNumberFormat="1" applyFont="1" applyAlignment="1">
      <alignment/>
    </xf>
    <xf numFmtId="170" fontId="0" fillId="0" borderId="0" xfId="15" applyNumberFormat="1" applyAlignment="1">
      <alignment/>
    </xf>
    <xf numFmtId="170" fontId="0" fillId="0" borderId="0" xfId="0" applyNumberFormat="1" applyAlignment="1">
      <alignment/>
    </xf>
    <xf numFmtId="43" fontId="0" fillId="0" borderId="0" xfId="0" applyNumberFormat="1" applyAlignment="1">
      <alignment/>
    </xf>
    <xf numFmtId="166" fontId="0" fillId="0" borderId="0" xfId="0" applyNumberFormat="1" applyAlignment="1">
      <alignment/>
    </xf>
    <xf numFmtId="170" fontId="4" fillId="0" borderId="0" xfId="15" applyNumberFormat="1" applyFont="1" applyAlignment="1">
      <alignment/>
    </xf>
    <xf numFmtId="0" fontId="2" fillId="0" borderId="0" xfId="20" applyAlignment="1">
      <alignment/>
    </xf>
    <xf numFmtId="0" fontId="1" fillId="0" borderId="0" xfId="0" applyFont="1" applyAlignment="1">
      <alignment/>
    </xf>
    <xf numFmtId="43" fontId="0" fillId="0" borderId="0" xfId="0" applyNumberFormat="1" applyAlignment="1">
      <alignment vertical="top"/>
    </xf>
    <xf numFmtId="0" fontId="6" fillId="0" borderId="0" xfId="0" applyFont="1" applyAlignment="1">
      <alignment/>
    </xf>
    <xf numFmtId="0" fontId="0" fillId="0" borderId="0" xfId="0" applyFont="1" applyAlignment="1">
      <alignment/>
    </xf>
    <xf numFmtId="172" fontId="0" fillId="0" borderId="0" xfId="0" applyNumberFormat="1" applyAlignment="1">
      <alignment/>
    </xf>
    <xf numFmtId="165" fontId="0" fillId="0" borderId="0" xfId="0" applyNumberFormat="1" applyAlignment="1">
      <alignment/>
    </xf>
    <xf numFmtId="0" fontId="4" fillId="0" borderId="0" xfId="0" applyFont="1" applyAlignment="1">
      <alignment/>
    </xf>
    <xf numFmtId="165" fontId="4" fillId="0" borderId="0" xfId="0" applyNumberFormat="1" applyFont="1" applyAlignment="1">
      <alignment/>
    </xf>
    <xf numFmtId="1" fontId="4" fillId="0" borderId="0" xfId="0" applyNumberFormat="1" applyFont="1" applyAlignment="1">
      <alignment/>
    </xf>
    <xf numFmtId="165" fontId="0" fillId="0" borderId="0" xfId="0" applyNumberFormat="1" applyFont="1" applyAlignment="1">
      <alignment/>
    </xf>
    <xf numFmtId="164" fontId="0" fillId="0" borderId="0" xfId="17" applyNumberFormat="1" applyAlignment="1">
      <alignment/>
    </xf>
    <xf numFmtId="165" fontId="0" fillId="0" borderId="0" xfId="0" applyNumberFormat="1" applyAlignment="1">
      <alignment wrapText="1"/>
    </xf>
    <xf numFmtId="165" fontId="4" fillId="0" borderId="0" xfId="0" applyNumberFormat="1" applyFont="1" applyAlignment="1">
      <alignment wrapText="1"/>
    </xf>
    <xf numFmtId="1" fontId="4" fillId="0" borderId="0" xfId="0" applyNumberFormat="1" applyFont="1" applyAlignment="1">
      <alignment wrapText="1"/>
    </xf>
    <xf numFmtId="6" fontId="0" fillId="0" borderId="0" xfId="17" applyNumberFormat="1" applyFont="1" applyAlignment="1">
      <alignment/>
    </xf>
    <xf numFmtId="0" fontId="1" fillId="0" borderId="0" xfId="0" applyFont="1" applyAlignment="1">
      <alignment vertical="top"/>
    </xf>
    <xf numFmtId="0" fontId="0" fillId="0" borderId="0" xfId="0" applyNumberFormat="1" applyAlignment="1">
      <alignment/>
    </xf>
    <xf numFmtId="170" fontId="7" fillId="0" borderId="0" xfId="15" applyNumberFormat="1" applyFont="1" applyAlignment="1">
      <alignment/>
    </xf>
    <xf numFmtId="170" fontId="8" fillId="0" borderId="0" xfId="15" applyNumberFormat="1" applyFont="1" applyAlignment="1">
      <alignment/>
    </xf>
    <xf numFmtId="170" fontId="8" fillId="0" borderId="0" xfId="0" applyNumberFormat="1" applyFont="1" applyAlignment="1">
      <alignment/>
    </xf>
    <xf numFmtId="0" fontId="0" fillId="0" borderId="0" xfId="0" applyFont="1" applyAlignment="1">
      <alignment/>
    </xf>
    <xf numFmtId="170" fontId="0" fillId="0" borderId="0" xfId="0" applyNumberFormat="1" applyFont="1" applyAlignment="1">
      <alignment/>
    </xf>
    <xf numFmtId="166" fontId="0" fillId="0" borderId="0" xfId="0" applyNumberFormat="1" applyFont="1" applyAlignment="1">
      <alignment/>
    </xf>
    <xf numFmtId="49" fontId="0" fillId="0" borderId="0" xfId="0" applyNumberFormat="1" applyAlignment="1">
      <alignment/>
    </xf>
    <xf numFmtId="0" fontId="8" fillId="0" borderId="0" xfId="0" applyFont="1" applyAlignment="1">
      <alignment horizontal="left" wrapText="1"/>
    </xf>
    <xf numFmtId="0" fontId="0" fillId="0" borderId="0" xfId="0" applyAlignment="1">
      <alignment horizontal="left" wrapText="1"/>
    </xf>
    <xf numFmtId="11" fontId="10" fillId="2" borderId="1" xfId="0" applyNumberFormat="1" applyFont="1" applyFill="1" applyBorder="1" applyAlignment="1">
      <alignment horizontal="left" wrapText="1"/>
    </xf>
    <xf numFmtId="1" fontId="10" fillId="2" borderId="1" xfId="0" applyNumberFormat="1" applyFont="1" applyFill="1" applyBorder="1" applyAlignment="1">
      <alignment horizontal="left" wrapText="1"/>
    </xf>
    <xf numFmtId="0" fontId="10" fillId="2" borderId="1" xfId="0" applyFont="1" applyFill="1" applyBorder="1" applyAlignment="1">
      <alignment horizontal="right" wrapText="1"/>
    </xf>
    <xf numFmtId="172" fontId="10" fillId="2" borderId="1" xfId="0" applyNumberFormat="1" applyFont="1" applyFill="1" applyBorder="1" applyAlignment="1">
      <alignment horizontal="right" wrapText="1"/>
    </xf>
    <xf numFmtId="0" fontId="11" fillId="2" borderId="1" xfId="0" applyFont="1" applyFill="1" applyBorder="1" applyAlignment="1">
      <alignment horizontal="right" wrapText="1"/>
    </xf>
    <xf numFmtId="0" fontId="12" fillId="0" borderId="0" xfId="0" applyFont="1" applyAlignment="1">
      <alignment/>
    </xf>
    <xf numFmtId="179" fontId="0" fillId="0" borderId="0" xfId="0" applyNumberFormat="1" applyAlignment="1" applyProtection="1">
      <alignment/>
      <protection/>
    </xf>
    <xf numFmtId="180" fontId="8" fillId="0" borderId="0" xfId="0" applyNumberFormat="1" applyFont="1" applyAlignment="1" applyProtection="1">
      <alignment/>
      <protection/>
    </xf>
    <xf numFmtId="180" fontId="4" fillId="0" borderId="0" xfId="0" applyNumberFormat="1" applyFont="1" applyAlignment="1" applyProtection="1">
      <alignment/>
      <protection/>
    </xf>
    <xf numFmtId="181" fontId="4" fillId="0" borderId="0" xfId="0" applyNumberFormat="1" applyFont="1" applyAlignment="1" applyProtection="1">
      <alignment/>
      <protection/>
    </xf>
    <xf numFmtId="181" fontId="7" fillId="0" borderId="0" xfId="0" applyNumberFormat="1" applyFont="1" applyAlignment="1" applyProtection="1">
      <alignment/>
      <protection/>
    </xf>
    <xf numFmtId="168" fontId="8" fillId="0" borderId="0" xfId="15" applyNumberFormat="1" applyFont="1" applyAlignment="1">
      <alignment/>
    </xf>
    <xf numFmtId="173" fontId="0" fillId="0" borderId="0" xfId="0" applyNumberFormat="1" applyAlignment="1">
      <alignment/>
    </xf>
    <xf numFmtId="168" fontId="4" fillId="0" borderId="0" xfId="15" applyNumberFormat="1" applyFont="1" applyAlignment="1">
      <alignment/>
    </xf>
    <xf numFmtId="168" fontId="7" fillId="0" borderId="0" xfId="15" applyNumberFormat="1" applyFont="1" applyAlignment="1">
      <alignment/>
    </xf>
    <xf numFmtId="0" fontId="10" fillId="0" borderId="0" xfId="20" applyFont="1" applyAlignment="1">
      <alignment/>
    </xf>
    <xf numFmtId="43" fontId="14" fillId="0" borderId="0" xfId="0" applyNumberFormat="1" applyFont="1" applyAlignment="1">
      <alignment/>
    </xf>
    <xf numFmtId="0" fontId="0" fillId="0" borderId="0" xfId="0" applyAlignment="1" quotePrefix="1">
      <alignment/>
    </xf>
    <xf numFmtId="173" fontId="0" fillId="0" borderId="0" xfId="0" applyNumberFormat="1" applyAlignment="1" quotePrefix="1">
      <alignment/>
    </xf>
    <xf numFmtId="172" fontId="0" fillId="0" borderId="0" xfId="0" applyNumberFormat="1" applyAlignment="1" quotePrefix="1">
      <alignment/>
    </xf>
    <xf numFmtId="3" fontId="0" fillId="0" borderId="0" xfId="0" applyNumberFormat="1" applyAlignment="1">
      <alignment/>
    </xf>
    <xf numFmtId="43" fontId="0" fillId="0" borderId="0" xfId="15" applyAlignment="1">
      <alignment/>
    </xf>
    <xf numFmtId="44" fontId="0" fillId="0" borderId="0" xfId="17" applyAlignment="1">
      <alignment/>
    </xf>
    <xf numFmtId="44" fontId="0" fillId="0" borderId="0" xfId="17" applyAlignment="1">
      <alignment horizontal="right"/>
    </xf>
    <xf numFmtId="0" fontId="10" fillId="2" borderId="2" xfId="0" applyFont="1" applyFill="1" applyBorder="1" applyAlignment="1">
      <alignment wrapText="1"/>
    </xf>
    <xf numFmtId="0" fontId="2" fillId="0" borderId="0" xfId="20" applyFont="1" applyAlignment="1">
      <alignment/>
    </xf>
    <xf numFmtId="0" fontId="0" fillId="0" borderId="0" xfId="0" applyAlignment="1">
      <alignment horizontal="center" wrapText="1"/>
    </xf>
    <xf numFmtId="0" fontId="8" fillId="0" borderId="0" xfId="0" applyFont="1" applyAlignment="1">
      <alignment/>
    </xf>
    <xf numFmtId="0" fontId="8" fillId="0" borderId="0" xfId="0" applyFont="1" applyAlignment="1">
      <alignment wrapText="1"/>
    </xf>
    <xf numFmtId="165" fontId="8" fillId="0" borderId="0" xfId="0" applyNumberFormat="1" applyFont="1" applyAlignment="1">
      <alignment/>
    </xf>
    <xf numFmtId="0" fontId="8" fillId="0" borderId="0" xfId="0" applyFont="1" applyAlignment="1">
      <alignment horizontal="center" wrapText="1"/>
    </xf>
    <xf numFmtId="166" fontId="8" fillId="0" borderId="0" xfId="0" applyNumberFormat="1" applyFont="1" applyAlignment="1">
      <alignment/>
    </xf>
    <xf numFmtId="165" fontId="12" fillId="0" borderId="0" xfId="0" applyNumberFormat="1" applyFont="1" applyAlignment="1">
      <alignment/>
    </xf>
    <xf numFmtId="0" fontId="0" fillId="0" borderId="0" xfId="0" applyFont="1" applyAlignment="1">
      <alignment horizontal="center" wrapText="1"/>
    </xf>
    <xf numFmtId="168" fontId="8" fillId="0" borderId="0" xfId="0" applyNumberFormat="1" applyFont="1" applyAlignment="1">
      <alignment/>
    </xf>
    <xf numFmtId="168" fontId="0" fillId="0" borderId="0" xfId="0" applyNumberFormat="1" applyFont="1" applyAlignment="1">
      <alignment/>
    </xf>
    <xf numFmtId="166" fontId="12" fillId="0" borderId="0" xfId="0" applyNumberFormat="1" applyFont="1" applyAlignment="1">
      <alignment/>
    </xf>
    <xf numFmtId="49" fontId="4" fillId="0" borderId="0" xfId="0" applyNumberFormat="1" applyFont="1" applyAlignment="1">
      <alignment/>
    </xf>
    <xf numFmtId="2" fontId="4" fillId="0" borderId="0" xfId="0" applyNumberFormat="1" applyFont="1" applyAlignment="1">
      <alignment/>
    </xf>
    <xf numFmtId="49" fontId="0" fillId="0" borderId="0" xfId="0" applyNumberFormat="1" applyAlignment="1">
      <alignment wrapText="1"/>
    </xf>
    <xf numFmtId="0" fontId="0" fillId="0" borderId="0" xfId="0" applyFont="1" applyAlignment="1">
      <alignment wrapText="1"/>
    </xf>
    <xf numFmtId="2" fontId="12" fillId="0" borderId="0" xfId="0" applyNumberFormat="1" applyFont="1" applyAlignment="1">
      <alignment/>
    </xf>
    <xf numFmtId="10" fontId="0" fillId="0" borderId="0" xfId="21" applyNumberFormat="1" applyAlignment="1">
      <alignment/>
    </xf>
    <xf numFmtId="197" fontId="12" fillId="0" borderId="0" xfId="21" applyNumberFormat="1" applyFont="1" applyAlignment="1">
      <alignment/>
    </xf>
    <xf numFmtId="49" fontId="12" fillId="0" borderId="0" xfId="0" applyNumberFormat="1" applyFont="1" applyAlignment="1">
      <alignment horizontal="right"/>
    </xf>
    <xf numFmtId="0" fontId="15" fillId="0" borderId="0" xfId="0" applyFont="1" applyAlignment="1">
      <alignment/>
    </xf>
    <xf numFmtId="0" fontId="16" fillId="0" borderId="0" xfId="0" applyFont="1" applyAlignment="1">
      <alignment/>
    </xf>
    <xf numFmtId="1" fontId="12" fillId="0" borderId="0" xfId="0" applyNumberFormat="1" applyFont="1" applyAlignment="1">
      <alignment/>
    </xf>
    <xf numFmtId="0" fontId="12" fillId="0" borderId="0" xfId="0" applyFont="1" applyAlignment="1">
      <alignment wrapText="1"/>
    </xf>
    <xf numFmtId="195" fontId="0" fillId="0" borderId="0" xfId="21" applyNumberFormat="1" applyAlignment="1">
      <alignment/>
    </xf>
    <xf numFmtId="10" fontId="0" fillId="0" borderId="0" xfId="0" applyNumberFormat="1" applyAlignment="1">
      <alignment/>
    </xf>
    <xf numFmtId="177" fontId="0" fillId="0" borderId="0" xfId="17" applyNumberFormat="1" applyAlignment="1">
      <alignment/>
    </xf>
    <xf numFmtId="10" fontId="0" fillId="0" borderId="0" xfId="21" applyNumberFormat="1" applyFont="1" applyAlignment="1">
      <alignment/>
    </xf>
    <xf numFmtId="1" fontId="0" fillId="0" borderId="0" xfId="0" applyNumberFormat="1" applyAlignment="1">
      <alignment/>
    </xf>
    <xf numFmtId="0" fontId="0" fillId="0" borderId="0" xfId="0" applyAlignment="1" quotePrefix="1">
      <alignment horizontal="center"/>
    </xf>
    <xf numFmtId="44" fontId="0" fillId="0" borderId="0" xfId="17" applyFont="1" applyAlignment="1">
      <alignment/>
    </xf>
    <xf numFmtId="44" fontId="0" fillId="0" borderId="0" xfId="17" applyAlignment="1" quotePrefix="1">
      <alignment horizontal="center"/>
    </xf>
    <xf numFmtId="2" fontId="0" fillId="0" borderId="0" xfId="0" applyNumberFormat="1" applyAlignment="1">
      <alignment wrapText="1"/>
    </xf>
    <xf numFmtId="44" fontId="0" fillId="0" borderId="0" xfId="17" applyAlignment="1">
      <alignment wrapText="1"/>
    </xf>
    <xf numFmtId="195" fontId="0" fillId="0" borderId="0" xfId="21" applyNumberFormat="1" applyAlignment="1">
      <alignment wrapText="1"/>
    </xf>
    <xf numFmtId="10" fontId="0" fillId="0" borderId="0" xfId="21" applyNumberFormat="1" applyAlignment="1">
      <alignment wrapText="1"/>
    </xf>
    <xf numFmtId="177" fontId="0" fillId="0" borderId="0" xfId="17" applyNumberFormat="1" applyAlignment="1">
      <alignment wrapText="1"/>
    </xf>
    <xf numFmtId="1" fontId="0" fillId="0" borderId="0" xfId="0" applyNumberFormat="1" applyAlignment="1">
      <alignment wrapText="1"/>
    </xf>
    <xf numFmtId="10" fontId="0" fillId="0" borderId="0" xfId="0" applyNumberFormat="1" applyAlignment="1">
      <alignment wrapText="1"/>
    </xf>
    <xf numFmtId="172" fontId="0" fillId="0" borderId="0" xfId="0" applyNumberFormat="1" applyAlignment="1" quotePrefix="1">
      <alignment horizontal="center" wrapText="1"/>
    </xf>
    <xf numFmtId="2" fontId="0" fillId="0" borderId="0" xfId="0" applyNumberFormat="1" applyAlignment="1" quotePrefix="1">
      <alignment horizontal="center" wrapText="1"/>
    </xf>
    <xf numFmtId="177" fontId="0" fillId="0" borderId="0" xfId="0" applyNumberFormat="1" applyAlignment="1">
      <alignment wrapText="1"/>
    </xf>
    <xf numFmtId="44" fontId="0" fillId="0" borderId="0" xfId="0" applyNumberFormat="1" applyAlignment="1">
      <alignment wrapText="1"/>
    </xf>
    <xf numFmtId="0" fontId="0" fillId="0" borderId="0" xfId="0" applyAlignment="1" quotePrefix="1">
      <alignment horizontal="right"/>
    </xf>
    <xf numFmtId="196" fontId="0" fillId="0" borderId="0" xfId="21" applyNumberFormat="1" applyFont="1" applyAlignment="1">
      <alignment/>
    </xf>
    <xf numFmtId="196" fontId="0" fillId="0" borderId="0" xfId="21" applyNumberFormat="1" applyAlignment="1">
      <alignment/>
    </xf>
    <xf numFmtId="0" fontId="1" fillId="0" borderId="0" xfId="0" applyFont="1" applyAlignment="1">
      <alignment horizontal="left" wrapText="1"/>
    </xf>
    <xf numFmtId="0" fontId="1" fillId="0" borderId="0" xfId="0" applyNumberFormat="1" applyFont="1" applyAlignment="1">
      <alignment horizontal="lef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itehouse.gov/omb/budget/fy2007/pdf/hist.pdf" TargetMode="External" /><Relationship Id="rId2" Type="http://schemas.openxmlformats.org/officeDocument/2006/relationships/hyperlink" Target="http://www.census.gov/population/censusdata/urpop0090.txt" TargetMode="External" /><Relationship Id="rId3" Type="http://schemas.openxmlformats.org/officeDocument/2006/relationships/hyperlink" Target="http://www.census.gov/ipc/www/usinterproj/natprojtab01a.pdf" TargetMode="External" /><Relationship Id="rId4" Type="http://schemas.openxmlformats.org/officeDocument/2006/relationships/hyperlink" Target="http://www.imf.org/"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worldbank.org/servlets/ECR?entityID=000009265_3961006063138&amp;collection=IMAGEBANK&amp;sitePK=4692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239"/>
  <sheetViews>
    <sheetView workbookViewId="0" topLeftCell="A1">
      <pane xSplit="1" ySplit="4" topLeftCell="M5" activePane="bottomRight" state="frozen"/>
      <selection pane="topLeft" activeCell="A1" sqref="A1"/>
      <selection pane="topRight" activeCell="B1" sqref="B1"/>
      <selection pane="bottomLeft" activeCell="A5" sqref="A5"/>
      <selection pane="bottomRight" activeCell="M25" sqref="M25"/>
    </sheetView>
  </sheetViews>
  <sheetFormatPr defaultColWidth="9.140625" defaultRowHeight="12.75"/>
  <cols>
    <col min="2" max="2" width="10.57421875" style="0" customWidth="1"/>
    <col min="3" max="3" width="15.140625" style="0" customWidth="1"/>
    <col min="4" max="4" width="14.421875" style="0" customWidth="1"/>
    <col min="5" max="5" width="12.00390625" style="0" customWidth="1"/>
    <col min="6" max="6" width="10.8515625" style="0" bestFit="1" customWidth="1"/>
    <col min="7" max="7" width="16.00390625" style="0" bestFit="1" customWidth="1"/>
    <col min="8" max="8" width="17.7109375" style="0" bestFit="1" customWidth="1"/>
    <col min="9" max="9" width="14.7109375" style="0" bestFit="1" customWidth="1"/>
    <col min="10" max="10" width="31.140625" style="0" bestFit="1" customWidth="1"/>
    <col min="11" max="11" width="21.8515625" style="0" bestFit="1" customWidth="1"/>
    <col min="12" max="12" width="15.57421875" style="0" bestFit="1" customWidth="1"/>
    <col min="13" max="13" width="20.140625" style="0" bestFit="1" customWidth="1"/>
    <col min="14" max="14" width="15.57421875" style="0" bestFit="1" customWidth="1"/>
    <col min="15" max="15" width="16.57421875" style="0" bestFit="1" customWidth="1"/>
    <col min="17" max="17" width="17.7109375" style="0" bestFit="1" customWidth="1"/>
    <col min="21" max="21" width="17.00390625" style="0" bestFit="1" customWidth="1"/>
    <col min="22" max="22" width="21.140625" style="0" bestFit="1" customWidth="1"/>
    <col min="23" max="23" width="24.57421875" style="0" bestFit="1" customWidth="1"/>
    <col min="24" max="24" width="32.00390625" style="0" bestFit="1" customWidth="1"/>
    <col min="25" max="25" width="43.28125" style="0" bestFit="1" customWidth="1"/>
    <col min="26" max="26" width="45.140625" style="0" bestFit="1" customWidth="1"/>
    <col min="27" max="27" width="45.28125" style="0" bestFit="1" customWidth="1"/>
    <col min="28" max="28" width="40.7109375" style="0" bestFit="1" customWidth="1"/>
    <col min="29" max="29" width="31.57421875" style="0" bestFit="1" customWidth="1"/>
    <col min="30" max="30" width="22.7109375" style="0" bestFit="1" customWidth="1"/>
    <col min="31" max="31" width="11.00390625" style="0" bestFit="1" customWidth="1"/>
  </cols>
  <sheetData>
    <row r="1" ht="12.75">
      <c r="A1" t="s">
        <v>0</v>
      </c>
    </row>
    <row r="2" ht="12.75">
      <c r="A2" t="s">
        <v>1</v>
      </c>
    </row>
    <row r="4" spans="1:19" ht="12.75">
      <c r="A4" t="s">
        <v>7</v>
      </c>
      <c r="B4" t="s">
        <v>2</v>
      </c>
      <c r="C4" t="s">
        <v>3</v>
      </c>
      <c r="D4" t="s">
        <v>55</v>
      </c>
      <c r="E4" t="s">
        <v>4</v>
      </c>
      <c r="F4" t="s">
        <v>5</v>
      </c>
      <c r="G4" t="s">
        <v>6</v>
      </c>
      <c r="H4" t="s">
        <v>182</v>
      </c>
      <c r="I4" t="s">
        <v>183</v>
      </c>
      <c r="K4" t="s">
        <v>17</v>
      </c>
      <c r="L4" t="s">
        <v>18</v>
      </c>
      <c r="S4" t="s">
        <v>8</v>
      </c>
    </row>
    <row r="5" spans="1:19" ht="12.75">
      <c r="A5">
        <v>1945</v>
      </c>
      <c r="B5">
        <v>6</v>
      </c>
      <c r="D5" s="12">
        <f>F97</f>
        <v>2000.1050847457627</v>
      </c>
      <c r="E5" s="10">
        <f>H97</f>
        <v>14110.568291733502</v>
      </c>
      <c r="H5" s="11">
        <f>'Russia-USSR'!B186</f>
        <v>450.2249395276574</v>
      </c>
      <c r="I5" t="s">
        <v>153</v>
      </c>
      <c r="P5" t="s">
        <v>14</v>
      </c>
      <c r="Q5" t="s">
        <v>15</v>
      </c>
      <c r="R5" t="s">
        <v>16</v>
      </c>
      <c r="S5">
        <v>6</v>
      </c>
    </row>
    <row r="6" spans="1:19" ht="12.75">
      <c r="A6">
        <v>1946</v>
      </c>
      <c r="B6">
        <v>11</v>
      </c>
      <c r="C6">
        <f>B6-B5</f>
        <v>5</v>
      </c>
      <c r="D6" s="12">
        <f aca="true" t="shared" si="0" ref="D6:D66">F98</f>
        <v>1877.0189006024095</v>
      </c>
      <c r="E6" s="10">
        <f aca="true" t="shared" si="1" ref="E6:E66">H98</f>
        <v>13065.584275019812</v>
      </c>
      <c r="H6" s="11">
        <f>'Russia-USSR'!B187</f>
        <v>448.86746358960943</v>
      </c>
      <c r="I6" s="61">
        <f>'Russia-USSR'!D187*1000</f>
        <v>2278.5150436020785</v>
      </c>
      <c r="S6">
        <v>11</v>
      </c>
    </row>
    <row r="7" spans="1:19" ht="12.75">
      <c r="A7">
        <v>1947</v>
      </c>
      <c r="B7">
        <v>32</v>
      </c>
      <c r="C7">
        <f aca="true" t="shared" si="2" ref="C7:C66">B7-B6</f>
        <v>21</v>
      </c>
      <c r="D7" s="12">
        <f t="shared" si="0"/>
        <v>1780.4963165075033</v>
      </c>
      <c r="E7" s="10">
        <f t="shared" si="1"/>
        <v>12230.579484320355</v>
      </c>
      <c r="H7" s="11">
        <f>'Russia-USSR'!B188</f>
        <v>498.86733249170084</v>
      </c>
      <c r="I7" s="61">
        <f>'Russia-USSR'!D188*1000</f>
        <v>2359.8265491565794</v>
      </c>
      <c r="S7">
        <v>32</v>
      </c>
    </row>
    <row r="8" spans="1:19" ht="12.75">
      <c r="A8">
        <v>1948</v>
      </c>
      <c r="B8">
        <v>110</v>
      </c>
      <c r="C8">
        <f t="shared" si="2"/>
        <v>78</v>
      </c>
      <c r="D8" s="12">
        <f t="shared" si="0"/>
        <v>1784.1892901618928</v>
      </c>
      <c r="E8" s="10">
        <f t="shared" si="1"/>
        <v>12096.72738888201</v>
      </c>
      <c r="H8" s="11">
        <f>'Russia-USSR'!B189</f>
        <v>567.192919425157</v>
      </c>
      <c r="I8" s="61">
        <f>'Russia-USSR'!D189*1000</f>
        <v>2793.02188563416</v>
      </c>
      <c r="S8">
        <v>110</v>
      </c>
    </row>
    <row r="9" spans="1:19" ht="12.75">
      <c r="A9">
        <v>1949</v>
      </c>
      <c r="B9">
        <v>235</v>
      </c>
      <c r="C9">
        <f t="shared" si="2"/>
        <v>125</v>
      </c>
      <c r="D9" s="12">
        <f t="shared" si="0"/>
        <v>1827.9652409638554</v>
      </c>
      <c r="E9" s="10">
        <f t="shared" si="1"/>
        <v>12234.584145664297</v>
      </c>
      <c r="F9">
        <v>1</v>
      </c>
      <c r="H9" s="11">
        <f>'Russia-USSR'!B190</f>
        <v>628.2787497625145</v>
      </c>
      <c r="I9" s="61">
        <f>'Russia-USSR'!D190*1000</f>
        <v>3224.422631575645</v>
      </c>
      <c r="S9">
        <v>236</v>
      </c>
    </row>
    <row r="10" spans="1:19" ht="12.75">
      <c r="A10">
        <v>1950</v>
      </c>
      <c r="B10">
        <v>369</v>
      </c>
      <c r="C10">
        <f t="shared" si="2"/>
        <v>134</v>
      </c>
      <c r="D10" s="12">
        <f t="shared" si="0"/>
        <v>1868.9229357798163</v>
      </c>
      <c r="E10" s="10">
        <f t="shared" si="1"/>
        <v>12350.32598856552</v>
      </c>
      <c r="F10">
        <v>5</v>
      </c>
      <c r="G10">
        <f>F10-F9</f>
        <v>4</v>
      </c>
      <c r="H10" s="11">
        <f>'Russia-USSR'!B191</f>
        <v>688.4595155897299</v>
      </c>
      <c r="I10" s="61">
        <f>'Russia-USSR'!D191*1000</f>
        <v>3856.916053723977</v>
      </c>
      <c r="S10">
        <v>374</v>
      </c>
    </row>
    <row r="11" spans="1:19" ht="12.75">
      <c r="A11">
        <v>1951</v>
      </c>
      <c r="B11">
        <v>640</v>
      </c>
      <c r="C11">
        <f t="shared" si="2"/>
        <v>271</v>
      </c>
      <c r="D11" s="12">
        <f t="shared" si="0"/>
        <v>2082.690539756239</v>
      </c>
      <c r="E11" s="10">
        <f t="shared" si="1"/>
        <v>13512.949208859452</v>
      </c>
      <c r="F11">
        <v>25</v>
      </c>
      <c r="G11">
        <f aca="true" t="shared" si="3" ref="G11:G66">F11-F10</f>
        <v>20</v>
      </c>
      <c r="H11" s="11">
        <f>'Russia-USSR'!B192</f>
        <v>740.0431179268928</v>
      </c>
      <c r="I11" s="61">
        <f>'Russia-USSR'!D192*1000</f>
        <v>4075.127301359542</v>
      </c>
      <c r="S11">
        <v>665</v>
      </c>
    </row>
    <row r="12" spans="1:19" ht="12.75">
      <c r="A12">
        <v>1952</v>
      </c>
      <c r="B12">
        <v>1005</v>
      </c>
      <c r="C12">
        <f t="shared" si="2"/>
        <v>365</v>
      </c>
      <c r="D12" s="12">
        <f t="shared" si="0"/>
        <v>2177.38828125</v>
      </c>
      <c r="E12" s="10">
        <f t="shared" si="1"/>
        <v>13875.319288911995</v>
      </c>
      <c r="F12">
        <v>50</v>
      </c>
      <c r="G12">
        <f t="shared" si="3"/>
        <v>25</v>
      </c>
      <c r="H12" s="11">
        <f>'Russia-USSR'!B193</f>
        <v>795.9252674870352</v>
      </c>
      <c r="I12" s="61">
        <f>'Russia-USSR'!D193*1000</f>
        <v>4306.954910644129</v>
      </c>
      <c r="S12">
        <v>1055</v>
      </c>
    </row>
    <row r="13" spans="1:19" ht="12.75">
      <c r="A13">
        <v>1953</v>
      </c>
      <c r="B13">
        <v>1436</v>
      </c>
      <c r="C13">
        <f t="shared" si="2"/>
        <v>431</v>
      </c>
      <c r="D13" s="12">
        <f t="shared" si="0"/>
        <v>2287.0518904109585</v>
      </c>
      <c r="E13" s="10">
        <f t="shared" si="1"/>
        <v>14318.683478395722</v>
      </c>
      <c r="F13">
        <v>120</v>
      </c>
      <c r="G13">
        <f t="shared" si="3"/>
        <v>70</v>
      </c>
      <c r="H13" s="11">
        <f>'Russia-USSR'!B194</f>
        <v>847.5088698241981</v>
      </c>
      <c r="I13" s="61">
        <f>'Russia-USSR'!D194*1000</f>
        <v>4508.025903320203</v>
      </c>
      <c r="K13" t="s">
        <v>14</v>
      </c>
      <c r="L13" t="s">
        <v>14</v>
      </c>
      <c r="P13">
        <v>1</v>
      </c>
      <c r="S13">
        <v>1557</v>
      </c>
    </row>
    <row r="14" spans="1:19" ht="12.75">
      <c r="A14">
        <v>1954</v>
      </c>
      <c r="B14">
        <v>2063</v>
      </c>
      <c r="C14">
        <f t="shared" si="2"/>
        <v>627</v>
      </c>
      <c r="D14" s="12">
        <f t="shared" si="0"/>
        <v>2287.71338028169</v>
      </c>
      <c r="E14" s="10">
        <f t="shared" si="1"/>
        <v>14076.092289215583</v>
      </c>
      <c r="F14">
        <v>150</v>
      </c>
      <c r="G14">
        <f t="shared" si="3"/>
        <v>30</v>
      </c>
      <c r="H14" s="11">
        <f>'Russia-USSR'!B195</f>
        <v>914.2507578446298</v>
      </c>
      <c r="I14" s="61">
        <f>'Russia-USSR'!D195*1000</f>
        <v>4786.653182432617</v>
      </c>
      <c r="J14">
        <f>SUM(C11:C25)</f>
        <v>31613</v>
      </c>
      <c r="P14">
        <v>5</v>
      </c>
      <c r="S14">
        <v>2218</v>
      </c>
    </row>
    <row r="15" spans="1:19" ht="12.75">
      <c r="A15">
        <v>1955</v>
      </c>
      <c r="B15">
        <v>3057</v>
      </c>
      <c r="C15">
        <f t="shared" si="2"/>
        <v>994</v>
      </c>
      <c r="D15" s="12">
        <f t="shared" si="0"/>
        <v>2372.05037593985</v>
      </c>
      <c r="E15" s="10">
        <f t="shared" si="1"/>
        <v>14347.846496520526</v>
      </c>
      <c r="F15">
        <v>200</v>
      </c>
      <c r="G15">
        <f t="shared" si="3"/>
        <v>50</v>
      </c>
      <c r="H15" s="11">
        <f>'Russia-USSR'!B196</f>
        <v>999.0921409214496</v>
      </c>
      <c r="I15" s="61">
        <f>'Russia-USSR'!D196*1000</f>
        <v>5139.362864822272</v>
      </c>
      <c r="J15">
        <f>SUM(G11:G25)</f>
        <v>6124</v>
      </c>
      <c r="P15">
        <v>10</v>
      </c>
      <c r="S15">
        <v>3267</v>
      </c>
    </row>
    <row r="16" spans="1:19" ht="12.75">
      <c r="A16">
        <v>1956</v>
      </c>
      <c r="B16">
        <v>4618</v>
      </c>
      <c r="C16">
        <f t="shared" si="2"/>
        <v>1561</v>
      </c>
      <c r="D16" s="12">
        <f t="shared" si="0"/>
        <v>2502.1714285714284</v>
      </c>
      <c r="E16" s="10">
        <f t="shared" si="1"/>
        <v>14882.87255265299</v>
      </c>
      <c r="F16">
        <v>426</v>
      </c>
      <c r="G16">
        <f t="shared" si="3"/>
        <v>226</v>
      </c>
      <c r="H16" s="11">
        <f>'Russia-USSR'!B197</f>
        <v>1093.6619749734405</v>
      </c>
      <c r="I16" s="61">
        <f>'Russia-USSR'!D197*1000</f>
        <v>5526.336407142196</v>
      </c>
      <c r="J16">
        <f>SUM(J14:J15)</f>
        <v>37737</v>
      </c>
      <c r="P16">
        <v>15</v>
      </c>
      <c r="S16">
        <v>5059</v>
      </c>
    </row>
    <row r="17" spans="1:19" ht="12.75">
      <c r="A17">
        <v>1957</v>
      </c>
      <c r="B17">
        <v>6444</v>
      </c>
      <c r="C17">
        <f t="shared" si="2"/>
        <v>1826</v>
      </c>
      <c r="D17" s="12">
        <f t="shared" si="0"/>
        <v>2541.708472012103</v>
      </c>
      <c r="E17" s="10">
        <f t="shared" si="1"/>
        <v>14870.404433237361</v>
      </c>
      <c r="F17">
        <v>660</v>
      </c>
      <c r="G17">
        <f t="shared" si="3"/>
        <v>234</v>
      </c>
      <c r="H17" s="11">
        <f>'Russia-USSR'!B198</f>
        <v>1162.8925573729443</v>
      </c>
      <c r="I17" s="61">
        <f>'Russia-USSR'!D198*1000</f>
        <v>5774.0444755359695</v>
      </c>
      <c r="P17">
        <v>20</v>
      </c>
      <c r="S17">
        <v>7124</v>
      </c>
    </row>
    <row r="18" spans="1:19" ht="12.75">
      <c r="A18">
        <v>1958</v>
      </c>
      <c r="B18">
        <v>9822</v>
      </c>
      <c r="C18">
        <f t="shared" si="2"/>
        <v>3378</v>
      </c>
      <c r="D18" s="12">
        <f t="shared" si="0"/>
        <v>2522.944933920705</v>
      </c>
      <c r="E18" s="10">
        <f t="shared" si="1"/>
        <v>14522.74447801432</v>
      </c>
      <c r="F18">
        <v>869</v>
      </c>
      <c r="G18">
        <f t="shared" si="3"/>
        <v>209</v>
      </c>
      <c r="H18" s="11">
        <f>'Russia-USSR'!B199</f>
        <v>1264.476028612199</v>
      </c>
      <c r="I18" s="61">
        <f>'Russia-USSR'!D199*1000</f>
        <v>6171.186084002922</v>
      </c>
      <c r="P18">
        <v>22</v>
      </c>
      <c r="S18">
        <v>10713</v>
      </c>
    </row>
    <row r="19" spans="1:19" ht="12.75">
      <c r="A19">
        <v>1959</v>
      </c>
      <c r="B19" s="18">
        <v>15468</v>
      </c>
      <c r="C19" s="18">
        <f t="shared" si="2"/>
        <v>5646</v>
      </c>
      <c r="D19" s="37">
        <f t="shared" si="0"/>
        <v>2651.257590361446</v>
      </c>
      <c r="E19" s="36">
        <f t="shared" si="1"/>
        <v>15019.294833374232</v>
      </c>
      <c r="F19">
        <v>1060</v>
      </c>
      <c r="G19">
        <f t="shared" si="3"/>
        <v>191</v>
      </c>
      <c r="H19" s="11">
        <f>'Russia-USSR'!B200</f>
        <v>1344.5662113838034</v>
      </c>
      <c r="I19" s="61">
        <f>'Russia-USSR'!D200*1000</f>
        <v>6439.493349539288</v>
      </c>
      <c r="P19">
        <v>25</v>
      </c>
      <c r="S19">
        <v>16553</v>
      </c>
    </row>
    <row r="20" spans="1:19" ht="12.75">
      <c r="A20">
        <v>1960</v>
      </c>
      <c r="B20">
        <v>20434</v>
      </c>
      <c r="C20">
        <f t="shared" si="2"/>
        <v>4966</v>
      </c>
      <c r="D20" s="12">
        <f t="shared" si="0"/>
        <v>2760.4069999999997</v>
      </c>
      <c r="E20" s="10">
        <f t="shared" si="1"/>
        <v>15393.47605238419</v>
      </c>
      <c r="F20">
        <v>1605</v>
      </c>
      <c r="G20">
        <f t="shared" si="3"/>
        <v>545</v>
      </c>
      <c r="H20" s="11">
        <f>'Russia-USSR'!B201</f>
        <v>1423.0727988085252</v>
      </c>
      <c r="I20" s="61">
        <f>'Russia-USSR'!D201*1000</f>
        <v>6699.966096085335</v>
      </c>
      <c r="P20">
        <v>30</v>
      </c>
      <c r="S20">
        <v>22069</v>
      </c>
    </row>
    <row r="21" spans="1:19" ht="12.75">
      <c r="A21">
        <v>1961</v>
      </c>
      <c r="B21">
        <v>24126</v>
      </c>
      <c r="C21">
        <f t="shared" si="2"/>
        <v>3692</v>
      </c>
      <c r="D21" s="12">
        <f t="shared" si="0"/>
        <v>2789.31661971831</v>
      </c>
      <c r="E21" s="10">
        <f t="shared" si="1"/>
        <v>15349.440534679192</v>
      </c>
      <c r="F21">
        <v>2471</v>
      </c>
      <c r="G21">
        <f t="shared" si="3"/>
        <v>866</v>
      </c>
      <c r="H21">
        <v>3056.02</v>
      </c>
      <c r="I21" s="9">
        <v>14129</v>
      </c>
      <c r="P21">
        <v>50</v>
      </c>
      <c r="S21">
        <v>26647</v>
      </c>
    </row>
    <row r="22" spans="1:19" ht="12.75">
      <c r="A22">
        <v>1962</v>
      </c>
      <c r="B22">
        <v>27387</v>
      </c>
      <c r="C22">
        <f t="shared" si="2"/>
        <v>3261</v>
      </c>
      <c r="D22" s="12">
        <f t="shared" si="0"/>
        <v>2949.4646239554318</v>
      </c>
      <c r="E22" s="10">
        <f t="shared" si="1"/>
        <v>16019.343321333636</v>
      </c>
      <c r="F22">
        <v>3322</v>
      </c>
      <c r="G22">
        <f t="shared" si="3"/>
        <v>851</v>
      </c>
      <c r="H22">
        <v>3170.59</v>
      </c>
      <c r="I22" s="9">
        <v>14412</v>
      </c>
      <c r="P22">
        <v>205</v>
      </c>
      <c r="S22">
        <v>30914</v>
      </c>
    </row>
    <row r="23" spans="1:19" ht="12.75">
      <c r="A23">
        <v>1963</v>
      </c>
      <c r="B23">
        <v>29459</v>
      </c>
      <c r="C23">
        <f t="shared" si="2"/>
        <v>2072</v>
      </c>
      <c r="D23" s="12">
        <f t="shared" si="0"/>
        <v>3072.558046767538</v>
      </c>
      <c r="E23" s="10">
        <f t="shared" si="1"/>
        <v>16473.355232058537</v>
      </c>
      <c r="F23">
        <v>4238</v>
      </c>
      <c r="G23">
        <f t="shared" si="3"/>
        <v>916</v>
      </c>
      <c r="H23">
        <v>3135.62</v>
      </c>
      <c r="I23" s="9">
        <v>14030</v>
      </c>
      <c r="P23">
        <v>280</v>
      </c>
      <c r="S23">
        <v>33977</v>
      </c>
    </row>
    <row r="24" spans="1:19" ht="12.75">
      <c r="A24">
        <v>1964</v>
      </c>
      <c r="B24">
        <v>31056</v>
      </c>
      <c r="C24">
        <f t="shared" si="2"/>
        <v>1597</v>
      </c>
      <c r="D24" s="12">
        <f t="shared" si="0"/>
        <v>3247.846488445854</v>
      </c>
      <c r="E24" s="10">
        <f t="shared" si="1"/>
        <v>17192.13042603554</v>
      </c>
      <c r="F24">
        <v>5221</v>
      </c>
      <c r="G24">
        <f t="shared" si="3"/>
        <v>983</v>
      </c>
      <c r="H24">
        <v>3480.7</v>
      </c>
      <c r="I24" s="9">
        <v>15354</v>
      </c>
      <c r="K24" t="s">
        <v>19</v>
      </c>
      <c r="L24" t="s">
        <v>19</v>
      </c>
      <c r="P24">
        <v>310</v>
      </c>
      <c r="Q24">
        <v>4</v>
      </c>
      <c r="R24">
        <v>1</v>
      </c>
      <c r="S24">
        <v>36592</v>
      </c>
    </row>
    <row r="25" spans="1:19" ht="12.75">
      <c r="A25">
        <v>1965</v>
      </c>
      <c r="B25">
        <v>31982</v>
      </c>
      <c r="C25">
        <f t="shared" si="2"/>
        <v>926</v>
      </c>
      <c r="D25" s="12">
        <f t="shared" si="0"/>
        <v>3425.7061469933183</v>
      </c>
      <c r="E25" s="10">
        <f t="shared" si="1"/>
        <v>17906.327431970927</v>
      </c>
      <c r="F25">
        <v>6129</v>
      </c>
      <c r="G25">
        <f t="shared" si="3"/>
        <v>908</v>
      </c>
      <c r="H25">
        <v>3697.41</v>
      </c>
      <c r="I25" s="9">
        <v>16104</v>
      </c>
      <c r="P25">
        <v>310</v>
      </c>
      <c r="Q25">
        <v>32</v>
      </c>
      <c r="R25">
        <v>5</v>
      </c>
      <c r="S25">
        <v>38458</v>
      </c>
    </row>
    <row r="26" spans="1:19" ht="12.75">
      <c r="A26">
        <v>1966</v>
      </c>
      <c r="B26">
        <v>32040</v>
      </c>
      <c r="C26">
        <f t="shared" si="2"/>
        <v>58</v>
      </c>
      <c r="D26" s="12">
        <f t="shared" si="0"/>
        <v>3675.1895769733974</v>
      </c>
      <c r="E26" s="10">
        <f t="shared" si="1"/>
        <v>18972.58923871809</v>
      </c>
      <c r="F26">
        <v>7089</v>
      </c>
      <c r="G26">
        <f t="shared" si="3"/>
        <v>960</v>
      </c>
      <c r="H26">
        <v>3885.6</v>
      </c>
      <c r="I26" s="9">
        <v>16734</v>
      </c>
      <c r="P26">
        <v>270</v>
      </c>
      <c r="Q26">
        <v>36</v>
      </c>
      <c r="R26">
        <v>20</v>
      </c>
      <c r="S26">
        <v>39455</v>
      </c>
    </row>
    <row r="27" spans="1:19" ht="12.75">
      <c r="A27">
        <v>1967</v>
      </c>
      <c r="B27">
        <v>31233</v>
      </c>
      <c r="C27">
        <f t="shared" si="2"/>
        <v>-807</v>
      </c>
      <c r="D27" s="12">
        <f t="shared" si="0"/>
        <v>3838.815969581749</v>
      </c>
      <c r="E27" s="10">
        <f t="shared" si="1"/>
        <v>19574.971902305577</v>
      </c>
      <c r="F27">
        <v>8339</v>
      </c>
      <c r="G27">
        <f t="shared" si="3"/>
        <v>1250</v>
      </c>
      <c r="H27">
        <v>4065.04</v>
      </c>
      <c r="I27" s="9">
        <v>17313</v>
      </c>
      <c r="P27">
        <v>270</v>
      </c>
      <c r="Q27">
        <v>36</v>
      </c>
      <c r="R27">
        <v>25</v>
      </c>
      <c r="S27">
        <v>39903</v>
      </c>
    </row>
    <row r="28" spans="1:19" ht="12.75">
      <c r="A28">
        <v>1968</v>
      </c>
      <c r="B28">
        <v>29224</v>
      </c>
      <c r="C28">
        <f t="shared" si="2"/>
        <v>-2009</v>
      </c>
      <c r="D28" s="12">
        <f t="shared" si="0"/>
        <v>3957.5086903304773</v>
      </c>
      <c r="E28" s="10">
        <f t="shared" si="1"/>
        <v>19936.44246040981</v>
      </c>
      <c r="F28">
        <v>9399</v>
      </c>
      <c r="G28">
        <f t="shared" si="3"/>
        <v>1060</v>
      </c>
      <c r="H28">
        <v>4310.73</v>
      </c>
      <c r="I28" s="9">
        <v>18173</v>
      </c>
      <c r="P28">
        <v>280</v>
      </c>
      <c r="Q28">
        <v>36</v>
      </c>
      <c r="R28">
        <v>35</v>
      </c>
      <c r="S28">
        <v>38974</v>
      </c>
    </row>
    <row r="29" spans="1:19" ht="12.75">
      <c r="A29">
        <v>1969</v>
      </c>
      <c r="B29">
        <v>27342</v>
      </c>
      <c r="C29">
        <f t="shared" si="2"/>
        <v>-1882</v>
      </c>
      <c r="D29" s="12">
        <f t="shared" si="0"/>
        <v>4142.6764728833405</v>
      </c>
      <c r="E29" s="10">
        <f t="shared" si="1"/>
        <v>20620.163861739562</v>
      </c>
      <c r="F29">
        <v>10538</v>
      </c>
      <c r="G29">
        <f t="shared" si="3"/>
        <v>1139</v>
      </c>
      <c r="H29">
        <v>4434.04</v>
      </c>
      <c r="I29" s="9">
        <v>18514</v>
      </c>
      <c r="P29">
        <v>308</v>
      </c>
      <c r="Q29">
        <v>36</v>
      </c>
      <c r="R29">
        <v>50</v>
      </c>
      <c r="S29">
        <v>38274</v>
      </c>
    </row>
    <row r="30" spans="1:19" ht="12.75">
      <c r="A30">
        <v>1970</v>
      </c>
      <c r="B30">
        <v>26662</v>
      </c>
      <c r="C30">
        <f t="shared" si="2"/>
        <v>-680</v>
      </c>
      <c r="D30" s="12">
        <f t="shared" si="0"/>
        <v>4191.474139844618</v>
      </c>
      <c r="E30" s="10">
        <f t="shared" si="1"/>
        <v>20616.981144888894</v>
      </c>
      <c r="F30">
        <v>11643</v>
      </c>
      <c r="G30">
        <f t="shared" si="3"/>
        <v>1105</v>
      </c>
      <c r="H30">
        <v>4775.44</v>
      </c>
      <c r="I30" s="9">
        <v>19758</v>
      </c>
      <c r="P30">
        <v>280</v>
      </c>
      <c r="Q30">
        <v>36</v>
      </c>
      <c r="R30">
        <v>75</v>
      </c>
      <c r="S30">
        <v>38696</v>
      </c>
    </row>
    <row r="31" spans="1:19" ht="12.75">
      <c r="A31">
        <v>1971</v>
      </c>
      <c r="B31">
        <v>26956</v>
      </c>
      <c r="C31">
        <f t="shared" si="2"/>
        <v>294</v>
      </c>
      <c r="D31" s="12">
        <f t="shared" si="0"/>
        <v>4259.098202959832</v>
      </c>
      <c r="E31" s="10">
        <f t="shared" si="1"/>
        <v>20712.834022661522</v>
      </c>
      <c r="F31">
        <v>13092</v>
      </c>
      <c r="G31">
        <f t="shared" si="3"/>
        <v>1449</v>
      </c>
      <c r="H31">
        <v>4960.86</v>
      </c>
      <c r="I31" s="9">
        <v>20340</v>
      </c>
      <c r="P31">
        <v>220</v>
      </c>
      <c r="Q31">
        <v>45</v>
      </c>
      <c r="R31">
        <v>100</v>
      </c>
      <c r="S31">
        <v>40413</v>
      </c>
    </row>
    <row r="32" spans="1:19" ht="12.75">
      <c r="A32">
        <v>1972</v>
      </c>
      <c r="B32">
        <v>27912</v>
      </c>
      <c r="C32">
        <f t="shared" si="2"/>
        <v>956</v>
      </c>
      <c r="D32" s="12">
        <f t="shared" si="0"/>
        <v>4437.6554172274555</v>
      </c>
      <c r="E32" s="10">
        <f t="shared" si="1"/>
        <v>21340.004953725092</v>
      </c>
      <c r="F32">
        <v>14478</v>
      </c>
      <c r="G32">
        <f t="shared" si="3"/>
        <v>1386</v>
      </c>
      <c r="H32">
        <v>5054.27</v>
      </c>
      <c r="I32" s="9">
        <v>20521</v>
      </c>
      <c r="P32">
        <v>220</v>
      </c>
      <c r="Q32">
        <v>70</v>
      </c>
      <c r="R32">
        <v>130</v>
      </c>
      <c r="S32">
        <v>42810</v>
      </c>
    </row>
    <row r="33" spans="1:19" ht="12.75">
      <c r="A33">
        <v>1973</v>
      </c>
      <c r="B33">
        <v>28999</v>
      </c>
      <c r="C33">
        <f t="shared" si="2"/>
        <v>1087</v>
      </c>
      <c r="D33" s="12">
        <f t="shared" si="0"/>
        <v>4716.715049951659</v>
      </c>
      <c r="E33" s="10">
        <f t="shared" si="1"/>
        <v>22431.271629337843</v>
      </c>
      <c r="F33">
        <v>15915</v>
      </c>
      <c r="G33">
        <f t="shared" si="3"/>
        <v>1437</v>
      </c>
      <c r="H33">
        <v>5421.89</v>
      </c>
      <c r="I33" s="9">
        <v>21801</v>
      </c>
      <c r="P33">
        <v>275</v>
      </c>
      <c r="Q33">
        <v>116</v>
      </c>
      <c r="R33">
        <v>150</v>
      </c>
      <c r="S33">
        <v>45455</v>
      </c>
    </row>
    <row r="34" spans="1:19" ht="12.75">
      <c r="A34">
        <v>1974</v>
      </c>
      <c r="B34">
        <v>28965</v>
      </c>
      <c r="C34">
        <f t="shared" si="2"/>
        <v>-34</v>
      </c>
      <c r="D34" s="12">
        <f t="shared" si="0"/>
        <v>4842.225698827772</v>
      </c>
      <c r="E34" s="10">
        <f t="shared" si="1"/>
        <v>22776.42990038106</v>
      </c>
      <c r="F34">
        <v>17385</v>
      </c>
      <c r="G34">
        <f t="shared" si="3"/>
        <v>1470</v>
      </c>
      <c r="H34">
        <v>5633.54</v>
      </c>
      <c r="I34" s="9">
        <v>22453</v>
      </c>
      <c r="P34">
        <v>325</v>
      </c>
      <c r="Q34">
        <v>145</v>
      </c>
      <c r="R34">
        <v>170</v>
      </c>
      <c r="S34">
        <v>46990</v>
      </c>
    </row>
    <row r="35" spans="1:19" ht="12.75">
      <c r="A35">
        <v>1975</v>
      </c>
      <c r="B35">
        <v>27826</v>
      </c>
      <c r="C35">
        <f t="shared" si="2"/>
        <v>-1139</v>
      </c>
      <c r="D35" s="12">
        <f t="shared" si="0"/>
        <v>4756.034603866049</v>
      </c>
      <c r="E35" s="10">
        <f t="shared" si="1"/>
        <v>22129.10747568691</v>
      </c>
      <c r="F35">
        <v>19055</v>
      </c>
      <c r="G35">
        <f t="shared" si="3"/>
        <v>1670</v>
      </c>
      <c r="H35">
        <v>5726.94</v>
      </c>
      <c r="I35" s="9">
        <v>22609</v>
      </c>
      <c r="P35">
        <v>350</v>
      </c>
      <c r="Q35">
        <v>188</v>
      </c>
      <c r="R35">
        <v>185</v>
      </c>
      <c r="S35">
        <v>47604</v>
      </c>
    </row>
    <row r="36" spans="1:19" ht="12.75">
      <c r="A36">
        <v>1976</v>
      </c>
      <c r="B36">
        <v>25579</v>
      </c>
      <c r="C36">
        <f t="shared" si="2"/>
        <v>-2247</v>
      </c>
      <c r="D36" s="12">
        <f t="shared" si="0"/>
        <v>4935.663915693245</v>
      </c>
      <c r="E36" s="10">
        <f t="shared" si="1"/>
        <v>22719.22564298645</v>
      </c>
      <c r="F36">
        <v>21205</v>
      </c>
      <c r="G36">
        <f t="shared" si="3"/>
        <v>2150</v>
      </c>
      <c r="H36">
        <v>5999.78</v>
      </c>
      <c r="I36" s="9">
        <v>23473</v>
      </c>
      <c r="P36">
        <v>350</v>
      </c>
      <c r="Q36">
        <v>212</v>
      </c>
      <c r="R36">
        <v>190</v>
      </c>
      <c r="S36">
        <v>47536</v>
      </c>
    </row>
    <row r="37" spans="1:19" ht="12.75">
      <c r="A37">
        <v>1977</v>
      </c>
      <c r="B37">
        <v>25722</v>
      </c>
      <c r="C37">
        <f t="shared" si="2"/>
        <v>143</v>
      </c>
      <c r="D37" s="12">
        <f t="shared" si="0"/>
        <v>5220.4913536498925</v>
      </c>
      <c r="E37" s="10">
        <f t="shared" si="1"/>
        <v>23775.96113884284</v>
      </c>
      <c r="F37">
        <v>23044</v>
      </c>
      <c r="G37">
        <f t="shared" si="3"/>
        <v>1839</v>
      </c>
      <c r="H37">
        <v>6191.65</v>
      </c>
      <c r="I37" s="9">
        <v>24008</v>
      </c>
      <c r="P37">
        <v>350</v>
      </c>
      <c r="Q37">
        <v>228</v>
      </c>
      <c r="R37">
        <v>200</v>
      </c>
      <c r="S37">
        <v>49544</v>
      </c>
    </row>
    <row r="38" spans="1:19" ht="12.75">
      <c r="A38">
        <v>1978</v>
      </c>
      <c r="B38">
        <v>24826</v>
      </c>
      <c r="C38">
        <f t="shared" si="2"/>
        <v>-896</v>
      </c>
      <c r="D38" s="12">
        <f t="shared" si="0"/>
        <v>5492.448207171315</v>
      </c>
      <c r="E38" s="10">
        <f t="shared" si="1"/>
        <v>24752.557858680957</v>
      </c>
      <c r="F38">
        <v>25393</v>
      </c>
      <c r="G38">
        <f t="shared" si="3"/>
        <v>2349</v>
      </c>
      <c r="H38">
        <v>6404.68</v>
      </c>
      <c r="I38" s="9">
        <v>24624</v>
      </c>
      <c r="P38">
        <v>350</v>
      </c>
      <c r="Q38">
        <v>235</v>
      </c>
      <c r="R38">
        <v>220</v>
      </c>
      <c r="S38">
        <v>51024</v>
      </c>
    </row>
    <row r="39" spans="1:19" ht="12.75">
      <c r="A39">
        <v>1979</v>
      </c>
      <c r="B39">
        <v>24605</v>
      </c>
      <c r="C39">
        <f t="shared" si="2"/>
        <v>-221</v>
      </c>
      <c r="D39" s="12">
        <f t="shared" si="0"/>
        <v>5733.37466202376</v>
      </c>
      <c r="E39" s="10">
        <f t="shared" si="1"/>
        <v>25570.516002501205</v>
      </c>
      <c r="F39" s="18">
        <v>27935</v>
      </c>
      <c r="G39" s="18">
        <f t="shared" si="3"/>
        <v>2542</v>
      </c>
      <c r="H39">
        <v>6455.75</v>
      </c>
      <c r="I39" s="9">
        <v>24603</v>
      </c>
      <c r="P39">
        <v>350</v>
      </c>
      <c r="Q39">
        <v>235</v>
      </c>
      <c r="R39">
        <v>235</v>
      </c>
      <c r="S39">
        <v>53360</v>
      </c>
    </row>
    <row r="40" spans="1:19" ht="12.75">
      <c r="A40">
        <v>1980</v>
      </c>
      <c r="B40">
        <v>24304</v>
      </c>
      <c r="C40">
        <f t="shared" si="2"/>
        <v>-301</v>
      </c>
      <c r="D40" s="12">
        <f t="shared" si="0"/>
        <v>5747.6371186440665</v>
      </c>
      <c r="E40" s="10">
        <f t="shared" si="1"/>
        <v>25371.1544428156</v>
      </c>
      <c r="F40">
        <v>30062</v>
      </c>
      <c r="G40">
        <f t="shared" si="3"/>
        <v>2127</v>
      </c>
      <c r="H40">
        <v>6545.47</v>
      </c>
      <c r="I40" s="9">
        <v>24747</v>
      </c>
      <c r="P40">
        <v>350</v>
      </c>
      <c r="Q40">
        <v>250</v>
      </c>
      <c r="R40">
        <v>280</v>
      </c>
      <c r="S40">
        <v>55246</v>
      </c>
    </row>
    <row r="41" spans="1:19" ht="12.75">
      <c r="A41">
        <v>1981</v>
      </c>
      <c r="B41">
        <v>23464</v>
      </c>
      <c r="C41">
        <f t="shared" si="2"/>
        <v>-840</v>
      </c>
      <c r="D41" s="12">
        <f t="shared" si="0"/>
        <v>5864.70962264151</v>
      </c>
      <c r="E41" s="10">
        <f t="shared" si="1"/>
        <v>25637.069992008575</v>
      </c>
      <c r="F41">
        <v>32049</v>
      </c>
      <c r="G41">
        <f t="shared" si="3"/>
        <v>1987</v>
      </c>
      <c r="H41">
        <v>3490.39</v>
      </c>
      <c r="I41" s="9">
        <v>13092</v>
      </c>
      <c r="P41">
        <v>350</v>
      </c>
      <c r="Q41">
        <v>274</v>
      </c>
      <c r="R41">
        <v>330</v>
      </c>
      <c r="S41">
        <v>56467</v>
      </c>
    </row>
    <row r="42" spans="1:19" ht="12.75">
      <c r="A42">
        <v>1982</v>
      </c>
      <c r="B42">
        <v>23708</v>
      </c>
      <c r="C42">
        <f t="shared" si="2"/>
        <v>244</v>
      </c>
      <c r="D42" s="12">
        <f t="shared" si="0"/>
        <v>5799.7313854551285</v>
      </c>
      <c r="E42" s="10">
        <f t="shared" si="1"/>
        <v>25109.700097607783</v>
      </c>
      <c r="F42">
        <v>33952</v>
      </c>
      <c r="G42">
        <f t="shared" si="3"/>
        <v>1903</v>
      </c>
      <c r="H42">
        <v>3583.15</v>
      </c>
      <c r="I42" s="9">
        <v>13330</v>
      </c>
      <c r="P42">
        <v>335</v>
      </c>
      <c r="Q42">
        <v>274</v>
      </c>
      <c r="R42">
        <v>360</v>
      </c>
      <c r="S42">
        <v>58629</v>
      </c>
    </row>
    <row r="43" spans="1:19" ht="12.75">
      <c r="A43">
        <v>1983</v>
      </c>
      <c r="B43">
        <v>24099</v>
      </c>
      <c r="C43">
        <f t="shared" si="2"/>
        <v>391</v>
      </c>
      <c r="D43" s="12">
        <f t="shared" si="0"/>
        <v>5921.241559040591</v>
      </c>
      <c r="E43" s="10">
        <f t="shared" si="1"/>
        <v>25392.075470011216</v>
      </c>
      <c r="F43">
        <v>35804</v>
      </c>
      <c r="G43">
        <f t="shared" si="3"/>
        <v>1852</v>
      </c>
      <c r="H43">
        <v>3699.95</v>
      </c>
      <c r="I43" s="9">
        <v>13643</v>
      </c>
      <c r="P43">
        <v>320</v>
      </c>
      <c r="Q43">
        <v>279</v>
      </c>
      <c r="R43">
        <v>380</v>
      </c>
      <c r="S43">
        <v>60882</v>
      </c>
    </row>
    <row r="44" spans="1:19" ht="12.75">
      <c r="A44">
        <v>1984</v>
      </c>
      <c r="B44">
        <v>24357</v>
      </c>
      <c r="C44">
        <f t="shared" si="2"/>
        <v>258</v>
      </c>
      <c r="D44" s="12">
        <f t="shared" si="0"/>
        <v>6373.5703736654805</v>
      </c>
      <c r="E44" s="10">
        <f t="shared" si="1"/>
        <v>27074.424277721744</v>
      </c>
      <c r="F44">
        <v>37431</v>
      </c>
      <c r="G44">
        <f t="shared" si="3"/>
        <v>1627</v>
      </c>
      <c r="H44">
        <v>3752.4</v>
      </c>
      <c r="I44" s="9">
        <v>13705</v>
      </c>
      <c r="P44">
        <v>270</v>
      </c>
      <c r="Q44">
        <v>280</v>
      </c>
      <c r="R44">
        <v>415</v>
      </c>
      <c r="S44">
        <v>62753</v>
      </c>
    </row>
    <row r="45" spans="1:19" ht="12.75">
      <c r="A45">
        <v>1985</v>
      </c>
      <c r="B45">
        <v>24237</v>
      </c>
      <c r="C45">
        <f t="shared" si="2"/>
        <v>-120</v>
      </c>
      <c r="D45" s="12">
        <f t="shared" si="0"/>
        <v>6657.447867298578</v>
      </c>
      <c r="E45" s="10">
        <f t="shared" si="1"/>
        <v>28016.491944222653</v>
      </c>
      <c r="F45">
        <v>39197</v>
      </c>
      <c r="G45">
        <f t="shared" si="3"/>
        <v>1766</v>
      </c>
      <c r="H45">
        <v>3779.35</v>
      </c>
      <c r="I45" s="9">
        <v>13678</v>
      </c>
      <c r="P45">
        <v>300</v>
      </c>
      <c r="Q45">
        <v>360</v>
      </c>
      <c r="R45">
        <v>425</v>
      </c>
      <c r="S45">
        <v>64519</v>
      </c>
    </row>
    <row r="46" spans="1:19" ht="12.75">
      <c r="A46">
        <v>1986</v>
      </c>
      <c r="B46">
        <v>24401</v>
      </c>
      <c r="C46">
        <f t="shared" si="2"/>
        <v>164</v>
      </c>
      <c r="D46" s="12">
        <f t="shared" si="0"/>
        <v>6931.648168421052</v>
      </c>
      <c r="E46" s="10">
        <f t="shared" si="1"/>
        <v>28900.79727021305</v>
      </c>
      <c r="F46" s="18">
        <v>45000</v>
      </c>
      <c r="G46" s="18">
        <f t="shared" si="3"/>
        <v>5803</v>
      </c>
      <c r="H46">
        <v>3926.99</v>
      </c>
      <c r="I46" s="9">
        <v>14085</v>
      </c>
      <c r="P46">
        <v>300</v>
      </c>
      <c r="Q46">
        <v>355</v>
      </c>
      <c r="R46">
        <v>425</v>
      </c>
      <c r="S46">
        <v>70481</v>
      </c>
    </row>
    <row r="47" spans="1:19" ht="12.75">
      <c r="A47">
        <v>1987</v>
      </c>
      <c r="B47">
        <v>24344</v>
      </c>
      <c r="C47">
        <f t="shared" si="2"/>
        <v>-57</v>
      </c>
      <c r="D47" s="12">
        <f t="shared" si="0"/>
        <v>7114.620475995077</v>
      </c>
      <c r="E47" s="10">
        <f t="shared" si="1"/>
        <v>29392.023355156434</v>
      </c>
      <c r="F47">
        <v>43000</v>
      </c>
      <c r="G47">
        <f t="shared" si="3"/>
        <v>-2000</v>
      </c>
      <c r="H47">
        <v>3947.39</v>
      </c>
      <c r="I47" s="9">
        <v>14013</v>
      </c>
      <c r="P47">
        <v>300</v>
      </c>
      <c r="Q47">
        <v>420</v>
      </c>
      <c r="R47">
        <v>415</v>
      </c>
      <c r="S47">
        <v>68479</v>
      </c>
    </row>
    <row r="48" spans="1:19" ht="12.75">
      <c r="A48">
        <v>1988</v>
      </c>
      <c r="B48">
        <v>23586</v>
      </c>
      <c r="C48">
        <f t="shared" si="2"/>
        <v>-758</v>
      </c>
      <c r="D48" s="12">
        <f t="shared" si="0"/>
        <v>7434.194377403527</v>
      </c>
      <c r="E48" s="10">
        <f t="shared" si="1"/>
        <v>30433.54313222166</v>
      </c>
      <c r="F48">
        <v>41000</v>
      </c>
      <c r="G48">
        <f t="shared" si="3"/>
        <v>-2000</v>
      </c>
      <c r="H48">
        <v>3710.71</v>
      </c>
      <c r="I48" s="9">
        <v>13043</v>
      </c>
      <c r="P48">
        <v>300</v>
      </c>
      <c r="Q48">
        <v>410</v>
      </c>
      <c r="R48">
        <v>430</v>
      </c>
      <c r="S48">
        <v>65726</v>
      </c>
    </row>
    <row r="49" spans="1:19" ht="12.75">
      <c r="A49">
        <v>1989</v>
      </c>
      <c r="B49">
        <v>22380</v>
      </c>
      <c r="C49">
        <f t="shared" si="2"/>
        <v>-1206</v>
      </c>
      <c r="D49" s="12">
        <f t="shared" si="0"/>
        <v>7716.083290783763</v>
      </c>
      <c r="E49" s="10">
        <f t="shared" si="1"/>
        <v>31303.4451194653</v>
      </c>
      <c r="F49">
        <v>39000</v>
      </c>
      <c r="G49">
        <f t="shared" si="3"/>
        <v>-2000</v>
      </c>
      <c r="H49">
        <v>1371.63</v>
      </c>
      <c r="I49" s="9">
        <v>4779</v>
      </c>
      <c r="P49">
        <v>300</v>
      </c>
      <c r="Q49">
        <v>410</v>
      </c>
      <c r="R49">
        <v>435</v>
      </c>
      <c r="S49">
        <v>62525</v>
      </c>
    </row>
    <row r="50" spans="1:19" ht="12.75">
      <c r="A50">
        <v>1990</v>
      </c>
      <c r="B50">
        <v>21004</v>
      </c>
      <c r="C50">
        <f t="shared" si="2"/>
        <v>-1376</v>
      </c>
      <c r="D50" s="12">
        <f t="shared" si="0"/>
        <v>7901.087039999999</v>
      </c>
      <c r="E50" s="10">
        <f t="shared" si="1"/>
        <v>31768.288667816574</v>
      </c>
      <c r="F50">
        <v>37000</v>
      </c>
      <c r="G50">
        <f t="shared" si="3"/>
        <v>-2000</v>
      </c>
      <c r="H50" t="s">
        <v>153</v>
      </c>
      <c r="I50" t="s">
        <v>153</v>
      </c>
      <c r="P50">
        <v>300</v>
      </c>
      <c r="Q50">
        <v>505</v>
      </c>
      <c r="R50">
        <v>430</v>
      </c>
      <c r="S50">
        <v>59239</v>
      </c>
    </row>
    <row r="51" spans="1:19" ht="12.75">
      <c r="A51">
        <v>1991</v>
      </c>
      <c r="B51">
        <v>17287</v>
      </c>
      <c r="C51">
        <f t="shared" si="2"/>
        <v>-3717</v>
      </c>
      <c r="D51" s="12">
        <f t="shared" si="0"/>
        <v>7880.376548042705</v>
      </c>
      <c r="E51" s="10">
        <f t="shared" si="1"/>
        <v>31273.68401285303</v>
      </c>
      <c r="F51">
        <v>35000</v>
      </c>
      <c r="G51">
        <f t="shared" si="3"/>
        <v>-2000</v>
      </c>
      <c r="H51">
        <v>710.97</v>
      </c>
      <c r="I51" s="9">
        <v>4788</v>
      </c>
      <c r="P51">
        <v>300</v>
      </c>
      <c r="Q51">
        <v>540</v>
      </c>
      <c r="R51">
        <v>435</v>
      </c>
      <c r="S51">
        <v>53562</v>
      </c>
    </row>
    <row r="52" spans="1:19" ht="12.75">
      <c r="A52">
        <v>1992</v>
      </c>
      <c r="B52">
        <v>14747</v>
      </c>
      <c r="C52">
        <f t="shared" si="2"/>
        <v>-2540</v>
      </c>
      <c r="D52" s="12">
        <f t="shared" si="0"/>
        <v>8081.8329900486</v>
      </c>
      <c r="E52" s="10">
        <f t="shared" si="1"/>
        <v>31662.138421293388</v>
      </c>
      <c r="F52">
        <v>33000</v>
      </c>
      <c r="G52">
        <f t="shared" si="3"/>
        <v>-2000</v>
      </c>
      <c r="H52" s="11">
        <v>59.31</v>
      </c>
      <c r="I52" s="9">
        <v>399</v>
      </c>
      <c r="P52">
        <v>300</v>
      </c>
      <c r="Q52">
        <v>540</v>
      </c>
      <c r="R52">
        <v>435</v>
      </c>
      <c r="S52">
        <v>49022</v>
      </c>
    </row>
    <row r="53" spans="1:19" ht="12.75">
      <c r="A53">
        <v>1993</v>
      </c>
      <c r="B53">
        <v>13076</v>
      </c>
      <c r="C53">
        <f t="shared" si="2"/>
        <v>-1671</v>
      </c>
      <c r="D53" s="12">
        <f t="shared" si="0"/>
        <v>8327.627460964019</v>
      </c>
      <c r="E53" s="10">
        <f t="shared" si="1"/>
        <v>32212.267127687915</v>
      </c>
      <c r="F53">
        <v>31000</v>
      </c>
      <c r="G53">
        <f t="shared" si="3"/>
        <v>-2000</v>
      </c>
      <c r="H53" s="11">
        <v>174.19</v>
      </c>
      <c r="I53" s="9">
        <v>1171</v>
      </c>
      <c r="P53">
        <v>300</v>
      </c>
      <c r="Q53">
        <v>525</v>
      </c>
      <c r="R53">
        <v>435</v>
      </c>
      <c r="S53">
        <v>45336</v>
      </c>
    </row>
    <row r="54" spans="1:19" ht="12.75">
      <c r="A54">
        <v>1994</v>
      </c>
      <c r="B54">
        <v>12555</v>
      </c>
      <c r="C54">
        <f t="shared" si="2"/>
        <v>-521</v>
      </c>
      <c r="D54" s="12">
        <f t="shared" si="0"/>
        <v>8630.685744350909</v>
      </c>
      <c r="E54" s="10">
        <f t="shared" si="1"/>
        <v>32967.383368959185</v>
      </c>
      <c r="F54">
        <v>29000</v>
      </c>
      <c r="G54">
        <f t="shared" si="3"/>
        <v>-2000</v>
      </c>
      <c r="H54" s="11">
        <v>213.3</v>
      </c>
      <c r="I54" s="9">
        <v>1437</v>
      </c>
      <c r="P54">
        <v>250</v>
      </c>
      <c r="Q54">
        <v>510</v>
      </c>
      <c r="R54">
        <v>400</v>
      </c>
      <c r="S54">
        <v>42715</v>
      </c>
    </row>
    <row r="55" spans="1:19" ht="12.75">
      <c r="A55">
        <v>1995</v>
      </c>
      <c r="B55">
        <v>12144</v>
      </c>
      <c r="C55">
        <f t="shared" si="2"/>
        <v>-411</v>
      </c>
      <c r="D55" s="12">
        <f t="shared" si="0"/>
        <v>8895.38722065524</v>
      </c>
      <c r="E55" s="10">
        <f t="shared" si="1"/>
        <v>33559.1550001909</v>
      </c>
      <c r="F55">
        <v>27000</v>
      </c>
      <c r="G55">
        <f t="shared" si="3"/>
        <v>-2000</v>
      </c>
      <c r="H55" s="11">
        <v>373.83</v>
      </c>
      <c r="I55" s="9">
        <v>2524</v>
      </c>
      <c r="P55">
        <v>300</v>
      </c>
      <c r="Q55">
        <v>500</v>
      </c>
      <c r="R55">
        <v>400</v>
      </c>
      <c r="S55">
        <v>40344</v>
      </c>
    </row>
    <row r="56" spans="1:19" ht="12.75">
      <c r="A56">
        <v>1996</v>
      </c>
      <c r="B56">
        <v>11009</v>
      </c>
      <c r="C56">
        <f t="shared" si="2"/>
        <v>-1135</v>
      </c>
      <c r="D56" s="12">
        <f t="shared" si="0"/>
        <v>9166.584491750931</v>
      </c>
      <c r="E56" s="10">
        <f t="shared" si="1"/>
        <v>34160.70606411594</v>
      </c>
      <c r="F56">
        <v>25000</v>
      </c>
      <c r="G56">
        <f t="shared" si="3"/>
        <v>-2000</v>
      </c>
      <c r="H56" s="11">
        <v>430.23</v>
      </c>
      <c r="I56" s="9">
        <v>2909</v>
      </c>
      <c r="P56">
        <v>300</v>
      </c>
      <c r="Q56">
        <v>450</v>
      </c>
      <c r="R56">
        <v>400</v>
      </c>
      <c r="S56">
        <v>37159</v>
      </c>
    </row>
    <row r="57" spans="1:19" ht="12.75">
      <c r="A57">
        <v>1997</v>
      </c>
      <c r="B57">
        <v>10950</v>
      </c>
      <c r="C57">
        <f t="shared" si="2"/>
        <v>-59</v>
      </c>
      <c r="D57" s="12">
        <f t="shared" si="0"/>
        <v>9581.086222408203</v>
      </c>
      <c r="E57" s="10">
        <f t="shared" si="1"/>
        <v>35275.38162147656</v>
      </c>
      <c r="F57">
        <v>24000</v>
      </c>
      <c r="G57">
        <f t="shared" si="3"/>
        <v>-1000</v>
      </c>
      <c r="H57" s="11">
        <v>460.22</v>
      </c>
      <c r="I57" s="9">
        <v>3116</v>
      </c>
      <c r="P57">
        <v>260</v>
      </c>
      <c r="Q57">
        <v>450</v>
      </c>
      <c r="R57">
        <v>400</v>
      </c>
      <c r="S57">
        <v>36060</v>
      </c>
    </row>
    <row r="58" spans="1:19" ht="12.75">
      <c r="A58">
        <v>1998</v>
      </c>
      <c r="B58">
        <v>10871</v>
      </c>
      <c r="C58">
        <f t="shared" si="2"/>
        <v>-79</v>
      </c>
      <c r="D58" s="12">
        <f t="shared" si="0"/>
        <v>9981.610821705424</v>
      </c>
      <c r="E58" s="10">
        <f t="shared" si="1"/>
        <v>36312.678576043174</v>
      </c>
      <c r="F58">
        <v>23000</v>
      </c>
      <c r="G58">
        <f t="shared" si="3"/>
        <v>-1000</v>
      </c>
      <c r="H58" s="11">
        <v>147.32</v>
      </c>
      <c r="I58" s="9">
        <v>999</v>
      </c>
      <c r="P58">
        <v>260</v>
      </c>
      <c r="Q58">
        <v>450</v>
      </c>
      <c r="R58">
        <v>400</v>
      </c>
      <c r="S58">
        <v>34981</v>
      </c>
    </row>
    <row r="59" spans="1:19" ht="12.75">
      <c r="A59">
        <v>1999</v>
      </c>
      <c r="B59">
        <v>10824</v>
      </c>
      <c r="C59">
        <f t="shared" si="2"/>
        <v>-47</v>
      </c>
      <c r="D59" s="12">
        <f t="shared" si="0"/>
        <v>10420.269628647215</v>
      </c>
      <c r="E59" s="10">
        <f t="shared" si="1"/>
        <v>37462.67627098265</v>
      </c>
      <c r="F59">
        <v>22000</v>
      </c>
      <c r="G59">
        <f t="shared" si="3"/>
        <v>-1000</v>
      </c>
      <c r="H59" s="11">
        <v>203.99</v>
      </c>
      <c r="I59" s="9">
        <v>1388</v>
      </c>
      <c r="P59">
        <v>185</v>
      </c>
      <c r="Q59">
        <v>450</v>
      </c>
      <c r="R59">
        <v>400</v>
      </c>
      <c r="S59">
        <v>33859</v>
      </c>
    </row>
    <row r="60" spans="1:19" ht="12.75">
      <c r="A60">
        <v>2000</v>
      </c>
      <c r="B60">
        <v>10577</v>
      </c>
      <c r="C60">
        <f t="shared" si="2"/>
        <v>-247</v>
      </c>
      <c r="D60" s="12">
        <f t="shared" si="0"/>
        <v>10868.179139999998</v>
      </c>
      <c r="E60" s="10">
        <f t="shared" si="1"/>
        <v>38618.81007941151</v>
      </c>
      <c r="F60">
        <v>21000</v>
      </c>
      <c r="G60">
        <f t="shared" si="3"/>
        <v>-1000</v>
      </c>
      <c r="H60" s="11">
        <v>290.38</v>
      </c>
      <c r="I60" s="9">
        <v>1981</v>
      </c>
      <c r="P60">
        <v>185</v>
      </c>
      <c r="Q60">
        <v>470</v>
      </c>
      <c r="R60">
        <v>400</v>
      </c>
      <c r="S60">
        <v>32632</v>
      </c>
    </row>
    <row r="61" spans="1:19" ht="12.75">
      <c r="A61">
        <v>2001</v>
      </c>
      <c r="B61">
        <v>10527</v>
      </c>
      <c r="C61">
        <f t="shared" si="2"/>
        <v>-50</v>
      </c>
      <c r="D61" s="12">
        <f t="shared" si="0"/>
        <v>10998.248798358733</v>
      </c>
      <c r="E61" s="10">
        <f t="shared" si="1"/>
        <v>38702.60935077149</v>
      </c>
      <c r="F61">
        <v>20000</v>
      </c>
      <c r="G61">
        <f t="shared" si="3"/>
        <v>-1000</v>
      </c>
      <c r="H61" s="11">
        <v>324.48</v>
      </c>
      <c r="I61" s="9">
        <v>2222</v>
      </c>
      <c r="P61">
        <v>200</v>
      </c>
      <c r="Q61">
        <v>350</v>
      </c>
      <c r="R61">
        <v>400</v>
      </c>
      <c r="S61">
        <v>31477</v>
      </c>
    </row>
    <row r="62" spans="1:19" ht="12.75">
      <c r="A62">
        <v>2002</v>
      </c>
      <c r="B62">
        <v>10475</v>
      </c>
      <c r="C62">
        <f t="shared" si="2"/>
        <v>-52</v>
      </c>
      <c r="D62" s="12">
        <f t="shared" si="0"/>
        <v>11134.4170053681</v>
      </c>
      <c r="E62" s="10">
        <f t="shared" si="1"/>
        <v>38806.05634169086</v>
      </c>
      <c r="F62">
        <v>19000</v>
      </c>
      <c r="G62">
        <f t="shared" si="3"/>
        <v>-1000</v>
      </c>
      <c r="H62" s="11">
        <v>365.61</v>
      </c>
      <c r="I62" s="9">
        <v>2516</v>
      </c>
      <c r="P62">
        <v>200</v>
      </c>
      <c r="Q62">
        <v>350</v>
      </c>
      <c r="R62">
        <v>400</v>
      </c>
      <c r="S62">
        <v>30425</v>
      </c>
    </row>
    <row r="63" spans="1:19" ht="12.75">
      <c r="A63">
        <v>2003</v>
      </c>
      <c r="B63">
        <v>10421</v>
      </c>
      <c r="C63">
        <f t="shared" si="2"/>
        <v>-54</v>
      </c>
      <c r="D63" s="12">
        <f t="shared" si="0"/>
        <v>11369.238719684148</v>
      </c>
      <c r="E63" s="10">
        <f t="shared" si="1"/>
        <v>39248.103051983744</v>
      </c>
      <c r="F63">
        <v>18000</v>
      </c>
      <c r="G63">
        <f t="shared" si="3"/>
        <v>-1000</v>
      </c>
      <c r="H63" s="11">
        <v>473.07</v>
      </c>
      <c r="I63" s="9">
        <v>3272</v>
      </c>
      <c r="P63">
        <v>200</v>
      </c>
      <c r="Q63">
        <v>350</v>
      </c>
      <c r="R63">
        <v>400</v>
      </c>
      <c r="S63">
        <v>29371</v>
      </c>
    </row>
    <row r="64" spans="1:19" ht="12.75">
      <c r="A64">
        <v>2004</v>
      </c>
      <c r="B64">
        <v>10358</v>
      </c>
      <c r="C64">
        <f t="shared" si="2"/>
        <v>-63</v>
      </c>
      <c r="D64" s="12">
        <f t="shared" si="0"/>
        <v>11863.984026438997</v>
      </c>
      <c r="E64" s="10">
        <f t="shared" si="1"/>
        <v>40570.679305025915</v>
      </c>
      <c r="F64">
        <v>18000</v>
      </c>
      <c r="G64">
        <f t="shared" si="3"/>
        <v>0</v>
      </c>
      <c r="H64" s="11">
        <v>628.27</v>
      </c>
      <c r="I64" s="9">
        <v>4366</v>
      </c>
      <c r="P64">
        <v>200</v>
      </c>
      <c r="Q64">
        <v>350</v>
      </c>
      <c r="R64">
        <v>400</v>
      </c>
      <c r="S64">
        <v>29308</v>
      </c>
    </row>
    <row r="65" spans="1:19" ht="12.75">
      <c r="A65">
        <v>2005</v>
      </c>
      <c r="B65">
        <v>10295</v>
      </c>
      <c r="C65">
        <f t="shared" si="2"/>
        <v>-63</v>
      </c>
      <c r="D65" s="12">
        <f t="shared" si="0"/>
        <v>12290.4</v>
      </c>
      <c r="E65" s="10">
        <f t="shared" si="1"/>
        <v>41637.11524267867</v>
      </c>
      <c r="F65">
        <v>17000</v>
      </c>
      <c r="G65">
        <f t="shared" si="3"/>
        <v>-1000</v>
      </c>
      <c r="H65" s="11">
        <v>750.39</v>
      </c>
      <c r="I65" s="9">
        <v>5240</v>
      </c>
      <c r="P65">
        <v>200</v>
      </c>
      <c r="Q65">
        <v>350</v>
      </c>
      <c r="R65">
        <v>400</v>
      </c>
      <c r="S65">
        <v>28245</v>
      </c>
    </row>
    <row r="66" spans="1:19" ht="12.75">
      <c r="A66">
        <v>2006</v>
      </c>
      <c r="B66">
        <v>10104</v>
      </c>
      <c r="C66">
        <f t="shared" si="2"/>
        <v>-191</v>
      </c>
      <c r="D66" s="12">
        <f t="shared" si="0"/>
        <v>12709.980705882354</v>
      </c>
      <c r="E66" s="10">
        <f t="shared" si="1"/>
        <v>42660.91144884447</v>
      </c>
      <c r="F66">
        <v>16000</v>
      </c>
      <c r="G66">
        <f t="shared" si="3"/>
        <v>-1000</v>
      </c>
      <c r="K66" t="s">
        <v>155</v>
      </c>
      <c r="M66" t="s">
        <v>156</v>
      </c>
      <c r="P66">
        <v>200</v>
      </c>
      <c r="Q66">
        <v>350</v>
      </c>
      <c r="R66">
        <v>200</v>
      </c>
      <c r="S66">
        <v>26854</v>
      </c>
    </row>
    <row r="67" spans="1:17" ht="12.75">
      <c r="A67" t="s">
        <v>186</v>
      </c>
      <c r="E67" s="10"/>
      <c r="J67" t="s">
        <v>56</v>
      </c>
      <c r="K67" t="s">
        <v>43</v>
      </c>
      <c r="L67" t="s">
        <v>25</v>
      </c>
      <c r="M67" t="s">
        <v>43</v>
      </c>
      <c r="N67" t="s">
        <v>25</v>
      </c>
      <c r="O67" t="s">
        <v>159</v>
      </c>
      <c r="Q67" t="s">
        <v>160</v>
      </c>
    </row>
    <row r="68" spans="10:29" ht="12.75">
      <c r="J68" t="s">
        <v>20</v>
      </c>
      <c r="K68" s="63">
        <v>518.1</v>
      </c>
      <c r="L68" s="63">
        <v>13100</v>
      </c>
      <c r="M68" s="63">
        <v>182</v>
      </c>
      <c r="O68" s="62">
        <v>39921833</v>
      </c>
      <c r="Q68" s="62">
        <f>(1000000000*(K68))/L68</f>
        <v>39549618.32061069</v>
      </c>
      <c r="V68" t="s">
        <v>68</v>
      </c>
      <c r="W68" t="s">
        <v>69</v>
      </c>
      <c r="X68" t="s">
        <v>62</v>
      </c>
      <c r="Y68" t="s">
        <v>63</v>
      </c>
      <c r="Z68" t="s">
        <v>64</v>
      </c>
      <c r="AA68" s="21" t="s">
        <v>65</v>
      </c>
      <c r="AB68" t="s">
        <v>67</v>
      </c>
      <c r="AC68" s="21" t="s">
        <v>66</v>
      </c>
    </row>
    <row r="69" spans="10:29" ht="12.75">
      <c r="J69" t="s">
        <v>21</v>
      </c>
      <c r="K69" s="63">
        <v>1556</v>
      </c>
      <c r="L69" s="63">
        <v>8400</v>
      </c>
      <c r="M69" s="63">
        <v>619.7</v>
      </c>
      <c r="O69" s="62">
        <v>188078227</v>
      </c>
      <c r="Q69" s="62">
        <f aca="true" t="shared" si="4" ref="Q69:Q83">(1000000000*(K69))/L69</f>
        <v>185238095.23809522</v>
      </c>
      <c r="U69" t="s">
        <v>27</v>
      </c>
      <c r="V69">
        <v>21025.8</v>
      </c>
      <c r="W69">
        <v>3.217</v>
      </c>
      <c r="X69" s="20">
        <f>V69*W69</f>
        <v>67639.9986</v>
      </c>
      <c r="Y69">
        <v>0.7834</v>
      </c>
      <c r="Z69" s="20">
        <f>X69/Y69</f>
        <v>86341.58616287976</v>
      </c>
      <c r="AA69" s="22">
        <f>Z69*1.1193</f>
        <v>96642.13739211131</v>
      </c>
      <c r="AB69">
        <v>18.012</v>
      </c>
      <c r="AC69" s="23">
        <f>AA69/AB69</f>
        <v>5365.430679109</v>
      </c>
    </row>
    <row r="70" spans="10:29" ht="12.75">
      <c r="J70" t="s">
        <v>16</v>
      </c>
      <c r="K70" s="63">
        <v>8859</v>
      </c>
      <c r="L70" s="63">
        <v>6800</v>
      </c>
      <c r="M70" s="63">
        <v>2225</v>
      </c>
      <c r="O70" s="62">
        <v>1313973713</v>
      </c>
      <c r="Q70" s="62">
        <f t="shared" si="4"/>
        <v>1302794117.6470587</v>
      </c>
      <c r="U70" t="s">
        <v>28</v>
      </c>
      <c r="V70" s="20">
        <v>4874</v>
      </c>
      <c r="W70">
        <v>3.217</v>
      </c>
      <c r="X70" s="20">
        <f>V70*W70</f>
        <v>15679.658000000001</v>
      </c>
      <c r="Y70" s="19">
        <v>1</v>
      </c>
      <c r="Z70" s="20">
        <f>X70/Y70</f>
        <v>15679.658000000001</v>
      </c>
      <c r="AA70" s="22">
        <f>Z70*1.1193</f>
        <v>17550.2411994</v>
      </c>
      <c r="AB70">
        <v>25.07</v>
      </c>
      <c r="AC70" s="22">
        <f>AA70/AB70</f>
        <v>700.0495093498205</v>
      </c>
    </row>
    <row r="71" spans="10:21" ht="12.75">
      <c r="J71" t="s">
        <v>22</v>
      </c>
      <c r="K71" s="63">
        <v>303.5</v>
      </c>
      <c r="L71" s="63">
        <v>3900</v>
      </c>
      <c r="M71" s="63">
        <v>92.6</v>
      </c>
      <c r="O71" s="62">
        <v>78887007</v>
      </c>
      <c r="Q71" s="62">
        <f t="shared" si="4"/>
        <v>77820512.82051282</v>
      </c>
      <c r="U71" s="15" t="s">
        <v>92</v>
      </c>
    </row>
    <row r="72" spans="10:21" ht="12.75">
      <c r="J72" t="s">
        <v>23</v>
      </c>
      <c r="K72" s="63">
        <v>2504</v>
      </c>
      <c r="L72" s="63">
        <v>30400</v>
      </c>
      <c r="M72" s="63">
        <v>2730</v>
      </c>
      <c r="O72" s="62">
        <v>82422299</v>
      </c>
      <c r="Q72" s="62">
        <f t="shared" si="4"/>
        <v>82368421.05263157</v>
      </c>
      <c r="U72" s="15" t="s">
        <v>91</v>
      </c>
    </row>
    <row r="73" spans="10:21" ht="12.75">
      <c r="J73" t="s">
        <v>15</v>
      </c>
      <c r="K73" s="63">
        <v>1816</v>
      </c>
      <c r="L73" s="63">
        <v>29900</v>
      </c>
      <c r="M73" s="63">
        <v>2055</v>
      </c>
      <c r="O73" s="62">
        <v>60876136</v>
      </c>
      <c r="Q73" s="62">
        <f t="shared" si="4"/>
        <v>60735785.95317726</v>
      </c>
      <c r="U73" s="15"/>
    </row>
    <row r="74" spans="1:31" ht="12.75">
      <c r="A74" t="s">
        <v>10</v>
      </c>
      <c r="J74" t="s">
        <v>24</v>
      </c>
      <c r="K74" s="63">
        <v>3611</v>
      </c>
      <c r="L74" s="63">
        <v>3300</v>
      </c>
      <c r="M74" s="63">
        <v>719.8</v>
      </c>
      <c r="O74" s="62">
        <v>1095351995</v>
      </c>
      <c r="Q74" s="62">
        <f t="shared" si="4"/>
        <v>1094242424.2424242</v>
      </c>
      <c r="U74" s="35"/>
      <c r="V74" t="s">
        <v>71</v>
      </c>
      <c r="W74" t="s">
        <v>72</v>
      </c>
      <c r="X74" t="s">
        <v>74</v>
      </c>
      <c r="Y74" t="s">
        <v>75</v>
      </c>
      <c r="Z74" t="s">
        <v>76</v>
      </c>
      <c r="AA74" s="18" t="s">
        <v>77</v>
      </c>
      <c r="AB74" s="18" t="s">
        <v>80</v>
      </c>
      <c r="AC74" s="21" t="s">
        <v>81</v>
      </c>
      <c r="AD74" s="18" t="s">
        <v>67</v>
      </c>
      <c r="AE74" s="21" t="s">
        <v>66</v>
      </c>
    </row>
    <row r="75" spans="1:31" ht="12.75">
      <c r="A75" t="s">
        <v>11</v>
      </c>
      <c r="J75" t="s">
        <v>26</v>
      </c>
      <c r="K75" s="63">
        <v>561.6</v>
      </c>
      <c r="L75" s="63">
        <v>8300</v>
      </c>
      <c r="M75" s="63">
        <v>181.2</v>
      </c>
      <c r="O75" s="62">
        <v>68688433</v>
      </c>
      <c r="Q75" s="62">
        <f t="shared" si="4"/>
        <v>67662650.60240965</v>
      </c>
      <c r="U75" s="15" t="s">
        <v>70</v>
      </c>
      <c r="V75">
        <v>1.386</v>
      </c>
      <c r="W75">
        <v>0.002</v>
      </c>
      <c r="X75">
        <v>0.023</v>
      </c>
      <c r="Y75">
        <f>(V75/W75)*X75</f>
        <v>15.938999999999997</v>
      </c>
      <c r="Z75">
        <v>0.004</v>
      </c>
      <c r="AA75" s="24">
        <f>Y75/Z75</f>
        <v>3984.749999999999</v>
      </c>
      <c r="AB75" s="24">
        <f>AA75/0.4882</f>
        <v>8162.126177795983</v>
      </c>
      <c r="AC75" s="22">
        <f>AB75*1.1193</f>
        <v>9135.867830807043</v>
      </c>
      <c r="AD75" s="19">
        <v>2.76</v>
      </c>
      <c r="AE75" s="23">
        <f>AB75/AD75</f>
        <v>2957.292093404342</v>
      </c>
    </row>
    <row r="76" spans="1:35" ht="12.75">
      <c r="A76" t="s">
        <v>12</v>
      </c>
      <c r="J76" t="s">
        <v>42</v>
      </c>
      <c r="K76" s="63">
        <v>154.5</v>
      </c>
      <c r="L76" s="63">
        <v>24600</v>
      </c>
      <c r="M76" s="63">
        <v>114.3</v>
      </c>
      <c r="O76" s="62">
        <v>6352117</v>
      </c>
      <c r="Q76" s="62">
        <f t="shared" si="4"/>
        <v>6280487.804878049</v>
      </c>
      <c r="U76" s="15" t="s">
        <v>94</v>
      </c>
      <c r="AA76" s="24"/>
      <c r="AB76" s="24"/>
      <c r="AC76" s="22"/>
      <c r="AD76" s="19"/>
      <c r="AE76" s="23"/>
      <c r="AG76" s="3"/>
      <c r="AH76" s="3"/>
      <c r="AI76" s="3"/>
    </row>
    <row r="77" spans="1:31" ht="12.75">
      <c r="A77" t="s">
        <v>13</v>
      </c>
      <c r="J77" t="s">
        <v>29</v>
      </c>
      <c r="K77" s="63">
        <v>40</v>
      </c>
      <c r="L77" s="63">
        <v>1700</v>
      </c>
      <c r="M77" s="64" t="s">
        <v>153</v>
      </c>
      <c r="O77" s="62">
        <v>23113019</v>
      </c>
      <c r="Q77" s="62">
        <f t="shared" si="4"/>
        <v>23529411.76470588</v>
      </c>
      <c r="U77" s="15" t="s">
        <v>90</v>
      </c>
      <c r="AA77" s="24"/>
      <c r="AB77" s="24"/>
      <c r="AD77" s="3"/>
      <c r="AE77" s="3"/>
    </row>
    <row r="78" spans="1:32" ht="12.75">
      <c r="A78" t="s">
        <v>9</v>
      </c>
      <c r="J78" t="s">
        <v>30</v>
      </c>
      <c r="K78" s="63">
        <v>393.4</v>
      </c>
      <c r="L78" s="63">
        <v>2400</v>
      </c>
      <c r="M78" s="63">
        <v>89.6</v>
      </c>
      <c r="O78" s="62">
        <v>165803560</v>
      </c>
      <c r="Q78" s="62">
        <f t="shared" si="4"/>
        <v>163916666.66666666</v>
      </c>
      <c r="U78" s="15"/>
      <c r="AA78" s="24"/>
      <c r="AB78" s="24"/>
      <c r="AC78" s="3"/>
      <c r="AF78" s="3"/>
    </row>
    <row r="79" spans="1:28" ht="12.75">
      <c r="A79" s="14" t="s">
        <v>59</v>
      </c>
      <c r="J79" t="s">
        <v>31</v>
      </c>
      <c r="K79" s="63">
        <v>338</v>
      </c>
      <c r="L79" s="63">
        <v>12800</v>
      </c>
      <c r="M79" s="63">
        <v>264</v>
      </c>
      <c r="O79" s="62">
        <v>27019731</v>
      </c>
      <c r="Q79" s="62">
        <f t="shared" si="4"/>
        <v>26406250</v>
      </c>
      <c r="U79" s="15"/>
      <c r="V79" t="s">
        <v>73</v>
      </c>
      <c r="W79" t="s">
        <v>79</v>
      </c>
      <c r="X79" t="s">
        <v>78</v>
      </c>
      <c r="Y79" t="s">
        <v>82</v>
      </c>
      <c r="Z79" s="21" t="s">
        <v>83</v>
      </c>
      <c r="AA79" t="s">
        <v>67</v>
      </c>
      <c r="AB79" s="21" t="s">
        <v>66</v>
      </c>
    </row>
    <row r="80" spans="1:28" ht="12.75">
      <c r="A80" s="14" t="s">
        <v>60</v>
      </c>
      <c r="J80" t="s">
        <v>34</v>
      </c>
      <c r="K80" s="63">
        <v>965.3</v>
      </c>
      <c r="L80" s="63">
        <v>20400</v>
      </c>
      <c r="M80" s="63">
        <v>801.2</v>
      </c>
      <c r="O80" s="62">
        <v>48846823</v>
      </c>
      <c r="Q80" s="62">
        <f t="shared" si="4"/>
        <v>47318627.450980395</v>
      </c>
      <c r="U80" s="35" t="s">
        <v>58</v>
      </c>
      <c r="V80" s="3">
        <v>426133</v>
      </c>
      <c r="W80" s="3">
        <v>3.398</v>
      </c>
      <c r="X80" s="26">
        <f>V80/W80</f>
        <v>125407.00412007062</v>
      </c>
      <c r="Y80" s="26">
        <f>X80/0.8838</f>
        <v>141895.22982583233</v>
      </c>
      <c r="Z80" s="27">
        <f>Y80*1.1193</f>
        <v>158823.3307440541</v>
      </c>
      <c r="AA80" s="3">
        <v>39.888</v>
      </c>
      <c r="AB80" s="28">
        <f>Z80/AA80</f>
        <v>3981.732118533246</v>
      </c>
    </row>
    <row r="81" spans="1:28" ht="12.75">
      <c r="A81" s="14"/>
      <c r="J81" t="s">
        <v>35</v>
      </c>
      <c r="K81" s="63">
        <v>631.2</v>
      </c>
      <c r="L81" s="63">
        <v>27600</v>
      </c>
      <c r="M81" s="63">
        <v>323.4</v>
      </c>
      <c r="O81" s="62">
        <v>23036087</v>
      </c>
      <c r="Q81" s="62">
        <f t="shared" si="4"/>
        <v>22869565.217391305</v>
      </c>
      <c r="U81" s="112" t="s">
        <v>93</v>
      </c>
      <c r="V81" s="112"/>
      <c r="W81" s="112"/>
      <c r="X81" s="112"/>
      <c r="Y81" s="112"/>
      <c r="Z81" s="112"/>
      <c r="AA81" s="112"/>
      <c r="AB81" s="112"/>
    </row>
    <row r="82" spans="1:21" ht="12.75">
      <c r="A82" t="s">
        <v>36</v>
      </c>
      <c r="J82" t="s">
        <v>32</v>
      </c>
      <c r="K82" s="63">
        <v>572</v>
      </c>
      <c r="L82" s="63">
        <v>8200</v>
      </c>
      <c r="M82" s="63">
        <v>332.5</v>
      </c>
      <c r="O82" s="62">
        <v>70413958</v>
      </c>
      <c r="Q82" s="62">
        <f t="shared" si="4"/>
        <v>69756097.56097561</v>
      </c>
      <c r="U82" s="30" t="s">
        <v>90</v>
      </c>
    </row>
    <row r="83" spans="1:17" ht="12.75">
      <c r="A83" t="s">
        <v>37</v>
      </c>
      <c r="J83" t="s">
        <v>33</v>
      </c>
      <c r="K83" s="63">
        <v>1830</v>
      </c>
      <c r="L83" s="63">
        <v>30300</v>
      </c>
      <c r="M83" s="63">
        <v>2228</v>
      </c>
      <c r="O83" s="62">
        <v>60609153</v>
      </c>
      <c r="Q83" s="62">
        <f t="shared" si="4"/>
        <v>60396039.603960395</v>
      </c>
    </row>
    <row r="84" spans="1:17" ht="12.75">
      <c r="A84" t="s">
        <v>38</v>
      </c>
      <c r="J84" s="86" t="s">
        <v>157</v>
      </c>
      <c r="K84" s="15"/>
      <c r="Q84" t="s">
        <v>161</v>
      </c>
    </row>
    <row r="85" spans="1:11" ht="12.75">
      <c r="A85" s="14" t="s">
        <v>85</v>
      </c>
      <c r="J85" s="15" t="s">
        <v>57</v>
      </c>
      <c r="K85" s="15"/>
    </row>
    <row r="86" spans="1:21" ht="12.75">
      <c r="A86" s="14" t="s">
        <v>39</v>
      </c>
      <c r="J86" s="15"/>
      <c r="K86" s="15"/>
      <c r="U86" s="31"/>
    </row>
    <row r="87" spans="10:12" ht="12.75">
      <c r="J87" t="s">
        <v>70</v>
      </c>
      <c r="K87" s="25">
        <v>9.1</v>
      </c>
      <c r="L87" s="1">
        <v>3310</v>
      </c>
    </row>
    <row r="88" spans="1:12" ht="12.75">
      <c r="A88" t="s">
        <v>40</v>
      </c>
      <c r="J88" t="s">
        <v>27</v>
      </c>
      <c r="K88" s="2">
        <f>AA69/1000</f>
        <v>96.64213739211131</v>
      </c>
      <c r="L88" s="1">
        <v>5365</v>
      </c>
    </row>
    <row r="89" spans="10:12" ht="12.75">
      <c r="J89" t="s">
        <v>58</v>
      </c>
      <c r="K89" s="25">
        <v>158.8</v>
      </c>
      <c r="L89" s="29">
        <v>3982</v>
      </c>
    </row>
    <row r="90" spans="1:12" ht="12.75">
      <c r="A90" t="s">
        <v>41</v>
      </c>
      <c r="J90" s="15" t="s">
        <v>84</v>
      </c>
      <c r="K90" s="25"/>
      <c r="L90" s="29"/>
    </row>
    <row r="91" spans="10:12" ht="12.75">
      <c r="J91" t="s">
        <v>28</v>
      </c>
      <c r="K91" s="25">
        <v>17.552</v>
      </c>
      <c r="L91" s="29">
        <v>700</v>
      </c>
    </row>
    <row r="92" spans="1:36" s="3" customFormat="1" ht="12.75">
      <c r="A92"/>
      <c r="B92"/>
      <c r="C92"/>
      <c r="D92"/>
      <c r="E92"/>
      <c r="F92"/>
      <c r="G92"/>
      <c r="H92"/>
      <c r="I92"/>
      <c r="J92" s="15" t="s">
        <v>158</v>
      </c>
      <c r="K92"/>
      <c r="L92"/>
      <c r="M92"/>
      <c r="N92"/>
      <c r="U92"/>
      <c r="V92"/>
      <c r="W92"/>
      <c r="X92"/>
      <c r="Y92"/>
      <c r="Z92"/>
      <c r="AA92"/>
      <c r="AB92"/>
      <c r="AC92"/>
      <c r="AD92"/>
      <c r="AE92"/>
      <c r="AF92"/>
      <c r="AG92"/>
      <c r="AH92"/>
      <c r="AI92"/>
      <c r="AJ92"/>
    </row>
    <row r="93" spans="10:36" ht="12.75">
      <c r="J93" s="15" t="s">
        <v>86</v>
      </c>
      <c r="N93" s="3"/>
      <c r="AJ93" s="3"/>
    </row>
    <row r="94" spans="10:13" ht="12.75">
      <c r="J94" s="15"/>
      <c r="L94" s="3"/>
      <c r="M94" s="3"/>
    </row>
    <row r="95" spans="10:11" ht="12.75">
      <c r="J95" s="15"/>
      <c r="K95" s="3"/>
    </row>
    <row r="96" spans="2:10" ht="38.25">
      <c r="B96" s="3" t="s">
        <v>7</v>
      </c>
      <c r="C96" s="3" t="s">
        <v>45</v>
      </c>
      <c r="D96" s="3" t="s">
        <v>44</v>
      </c>
      <c r="E96" s="3" t="s">
        <v>46</v>
      </c>
      <c r="F96" s="7" t="s">
        <v>48</v>
      </c>
      <c r="G96" s="3" t="s">
        <v>49</v>
      </c>
      <c r="H96" s="7" t="s">
        <v>54</v>
      </c>
      <c r="I96" s="3"/>
      <c r="J96" s="3" t="s">
        <v>48</v>
      </c>
    </row>
    <row r="97" spans="2:10" ht="12.75">
      <c r="B97">
        <v>1945</v>
      </c>
      <c r="C97" s="5">
        <v>221.4</v>
      </c>
      <c r="D97" s="6">
        <v>0.1239</v>
      </c>
      <c r="E97" s="5">
        <f>C97/D97</f>
        <v>1786.9249394673125</v>
      </c>
      <c r="F97" s="8">
        <f>E97*1.1193</f>
        <v>2000.1050847457627</v>
      </c>
      <c r="G97" s="33">
        <f>G98-1916123</f>
        <v>141745183</v>
      </c>
      <c r="H97" s="13">
        <f aca="true" t="shared" si="5" ref="H97:H128">J97/G97</f>
        <v>14110.568291733502</v>
      </c>
      <c r="J97" s="11">
        <f>F97*1000000000</f>
        <v>2000105084745.7627</v>
      </c>
    </row>
    <row r="98" spans="1:10" ht="12.75">
      <c r="A98" s="3"/>
      <c r="B98">
        <v>1946</v>
      </c>
      <c r="C98" s="5">
        <v>222.7</v>
      </c>
      <c r="D98" s="6">
        <v>0.1328</v>
      </c>
      <c r="E98" s="5">
        <f aca="true" t="shared" si="6" ref="E98:E158">C98/D98</f>
        <v>1676.9578313253012</v>
      </c>
      <c r="F98" s="8">
        <f aca="true" t="shared" si="7" ref="F98:F158">E98*1.1193</f>
        <v>1877.0189006024095</v>
      </c>
      <c r="G98" s="33">
        <f>G99-1916123</f>
        <v>143661306</v>
      </c>
      <c r="H98" s="13">
        <f t="shared" si="5"/>
        <v>13065.584275019812</v>
      </c>
      <c r="J98" s="11">
        <f aca="true" t="shared" si="8" ref="J98:J158">F98*1000000000</f>
        <v>1877018900602.4094</v>
      </c>
    </row>
    <row r="99" spans="2:10" ht="12.75">
      <c r="B99">
        <v>1947</v>
      </c>
      <c r="C99" s="5">
        <v>233.2</v>
      </c>
      <c r="D99" s="6">
        <v>0.1466</v>
      </c>
      <c r="E99" s="5">
        <f t="shared" si="6"/>
        <v>1590.7230559345155</v>
      </c>
      <c r="F99" s="8">
        <f t="shared" si="7"/>
        <v>1780.4963165075033</v>
      </c>
      <c r="G99" s="33">
        <f>G100-1916123</f>
        <v>145577429</v>
      </c>
      <c r="H99" s="13">
        <f t="shared" si="5"/>
        <v>12230.579484320355</v>
      </c>
      <c r="J99" s="11">
        <f t="shared" si="8"/>
        <v>1780496316507.5032</v>
      </c>
    </row>
    <row r="100" spans="2:10" ht="12.75">
      <c r="B100">
        <v>1948</v>
      </c>
      <c r="C100" s="5">
        <v>256</v>
      </c>
      <c r="D100" s="6">
        <v>0.1606</v>
      </c>
      <c r="E100" s="5">
        <f t="shared" si="6"/>
        <v>1594.0224159402242</v>
      </c>
      <c r="F100" s="8">
        <f t="shared" si="7"/>
        <v>1784.1892901618928</v>
      </c>
      <c r="G100" s="33">
        <f>G101-1916123</f>
        <v>147493552</v>
      </c>
      <c r="H100" s="13">
        <f t="shared" si="5"/>
        <v>12096.72738888201</v>
      </c>
      <c r="J100" s="11">
        <f t="shared" si="8"/>
        <v>1784189290161.8928</v>
      </c>
    </row>
    <row r="101" spans="2:10" ht="12.75">
      <c r="B101">
        <v>1949</v>
      </c>
      <c r="C101" s="5">
        <v>271.1</v>
      </c>
      <c r="D101" s="6">
        <v>0.166</v>
      </c>
      <c r="E101" s="5">
        <f t="shared" si="6"/>
        <v>1633.132530120482</v>
      </c>
      <c r="F101" s="8">
        <f t="shared" si="7"/>
        <v>1827.9652409638554</v>
      </c>
      <c r="G101" s="33">
        <f>G102-1916123</f>
        <v>149409675</v>
      </c>
      <c r="H101" s="13">
        <f t="shared" si="5"/>
        <v>12234.584145664297</v>
      </c>
      <c r="J101" s="11">
        <f t="shared" si="8"/>
        <v>1827965240963.8555</v>
      </c>
    </row>
    <row r="102" spans="2:10" ht="12.75">
      <c r="B102">
        <v>1950</v>
      </c>
      <c r="C102" s="5">
        <v>273</v>
      </c>
      <c r="D102" s="6">
        <v>0.1635</v>
      </c>
      <c r="E102" s="5">
        <f t="shared" si="6"/>
        <v>1669.7247706422017</v>
      </c>
      <c r="F102" s="8">
        <f t="shared" si="7"/>
        <v>1868.9229357798163</v>
      </c>
      <c r="G102" s="32">
        <v>151325798</v>
      </c>
      <c r="H102" s="13">
        <f t="shared" si="5"/>
        <v>12350.32598856552</v>
      </c>
      <c r="J102" s="11">
        <f t="shared" si="8"/>
        <v>1868922935779.8162</v>
      </c>
    </row>
    <row r="103" spans="2:10" ht="12.75">
      <c r="B103">
        <v>1951</v>
      </c>
      <c r="C103" s="5">
        <v>320.6</v>
      </c>
      <c r="D103" s="6">
        <v>0.1723</v>
      </c>
      <c r="E103" s="5">
        <f t="shared" si="6"/>
        <v>1860.708067324434</v>
      </c>
      <c r="F103" s="8">
        <f t="shared" si="7"/>
        <v>2082.690539756239</v>
      </c>
      <c r="G103" s="33">
        <f>G102+2799738</f>
        <v>154125536</v>
      </c>
      <c r="H103" s="13">
        <f t="shared" si="5"/>
        <v>13512.949208859452</v>
      </c>
      <c r="J103" s="11">
        <f t="shared" si="8"/>
        <v>2082690539756.239</v>
      </c>
    </row>
    <row r="104" spans="2:10" ht="12.75">
      <c r="B104">
        <v>1952</v>
      </c>
      <c r="C104" s="5">
        <v>348.6</v>
      </c>
      <c r="D104" s="6">
        <v>0.1792</v>
      </c>
      <c r="E104" s="5">
        <f t="shared" si="6"/>
        <v>1945.3125000000002</v>
      </c>
      <c r="F104" s="8">
        <f t="shared" si="7"/>
        <v>2177.38828125</v>
      </c>
      <c r="G104" s="33">
        <f aca="true" t="shared" si="9" ref="G104:G111">G103+2799738</f>
        <v>156925274</v>
      </c>
      <c r="H104" s="13">
        <f t="shared" si="5"/>
        <v>13875.319288911995</v>
      </c>
      <c r="J104" s="11">
        <f t="shared" si="8"/>
        <v>2177388281250</v>
      </c>
    </row>
    <row r="105" spans="2:10" ht="12.75">
      <c r="B105">
        <v>1953</v>
      </c>
      <c r="C105" s="5">
        <v>372.9</v>
      </c>
      <c r="D105" s="6">
        <v>0.1825</v>
      </c>
      <c r="E105" s="5">
        <f t="shared" si="6"/>
        <v>2043.2876712328766</v>
      </c>
      <c r="F105" s="8">
        <f t="shared" si="7"/>
        <v>2287.0518904109585</v>
      </c>
      <c r="G105" s="33">
        <f t="shared" si="9"/>
        <v>159725012</v>
      </c>
      <c r="H105" s="13">
        <f t="shared" si="5"/>
        <v>14318.683478395722</v>
      </c>
      <c r="J105" s="11">
        <f t="shared" si="8"/>
        <v>2287051890410.9585</v>
      </c>
    </row>
    <row r="106" spans="2:10" ht="12.75">
      <c r="B106">
        <v>1954</v>
      </c>
      <c r="C106" s="5">
        <v>377.3</v>
      </c>
      <c r="D106" s="6">
        <v>0.1846</v>
      </c>
      <c r="E106" s="5">
        <f t="shared" si="6"/>
        <v>2043.8786565547132</v>
      </c>
      <c r="F106" s="8">
        <f t="shared" si="7"/>
        <v>2287.71338028169</v>
      </c>
      <c r="G106" s="33">
        <f t="shared" si="9"/>
        <v>162524750</v>
      </c>
      <c r="H106" s="13">
        <f t="shared" si="5"/>
        <v>14076.092289215583</v>
      </c>
      <c r="J106" s="11">
        <f t="shared" si="8"/>
        <v>2287713380281.6904</v>
      </c>
    </row>
    <row r="107" spans="2:10" ht="12.75">
      <c r="B107">
        <v>1955</v>
      </c>
      <c r="C107" s="5">
        <v>394.6</v>
      </c>
      <c r="D107" s="6">
        <v>0.1862</v>
      </c>
      <c r="E107" s="5">
        <f t="shared" si="6"/>
        <v>2119.2266380236306</v>
      </c>
      <c r="F107" s="8">
        <f t="shared" si="7"/>
        <v>2372.05037593985</v>
      </c>
      <c r="G107" s="33">
        <f t="shared" si="9"/>
        <v>165324488</v>
      </c>
      <c r="H107" s="13">
        <f t="shared" si="5"/>
        <v>14347.846496520526</v>
      </c>
      <c r="J107" s="11">
        <f t="shared" si="8"/>
        <v>2372050375939.8496</v>
      </c>
    </row>
    <row r="108" spans="2:10" ht="12.75">
      <c r="B108">
        <v>1956</v>
      </c>
      <c r="C108" s="5">
        <v>427.2</v>
      </c>
      <c r="D108" s="6">
        <v>0.1911</v>
      </c>
      <c r="E108" s="5">
        <f t="shared" si="6"/>
        <v>2235.4788069073784</v>
      </c>
      <c r="F108" s="8">
        <f t="shared" si="7"/>
        <v>2502.1714285714284</v>
      </c>
      <c r="G108" s="33">
        <f t="shared" si="9"/>
        <v>168124226</v>
      </c>
      <c r="H108" s="13">
        <f t="shared" si="5"/>
        <v>14882.87255265299</v>
      </c>
      <c r="J108" s="11">
        <f t="shared" si="8"/>
        <v>2502171428571.428</v>
      </c>
    </row>
    <row r="109" spans="2:10" ht="12.75">
      <c r="B109">
        <v>1957</v>
      </c>
      <c r="C109" s="5">
        <v>450.3</v>
      </c>
      <c r="D109" s="6">
        <v>0.1983</v>
      </c>
      <c r="E109" s="5">
        <f t="shared" si="6"/>
        <v>2270.801815431165</v>
      </c>
      <c r="F109" s="8">
        <f t="shared" si="7"/>
        <v>2541.708472012103</v>
      </c>
      <c r="G109" s="33">
        <f t="shared" si="9"/>
        <v>170923964</v>
      </c>
      <c r="H109" s="13">
        <f t="shared" si="5"/>
        <v>14870.404433237361</v>
      </c>
      <c r="J109" s="11">
        <f t="shared" si="8"/>
        <v>2541708472012.103</v>
      </c>
    </row>
    <row r="110" spans="2:10" ht="12.75">
      <c r="B110">
        <v>1958</v>
      </c>
      <c r="C110" s="5">
        <v>460.5</v>
      </c>
      <c r="D110" s="6">
        <v>0.2043</v>
      </c>
      <c r="E110" s="5">
        <f t="shared" si="6"/>
        <v>2254.0381791483114</v>
      </c>
      <c r="F110" s="8">
        <f t="shared" si="7"/>
        <v>2522.944933920705</v>
      </c>
      <c r="G110" s="33">
        <f t="shared" si="9"/>
        <v>173723702</v>
      </c>
      <c r="H110" s="13">
        <f t="shared" si="5"/>
        <v>14522.74447801432</v>
      </c>
      <c r="J110" s="11">
        <f t="shared" si="8"/>
        <v>2522944933920.705</v>
      </c>
    </row>
    <row r="111" spans="2:10" ht="12.75">
      <c r="B111">
        <v>1959</v>
      </c>
      <c r="C111" s="5">
        <v>491.5</v>
      </c>
      <c r="D111" s="6">
        <v>0.2075</v>
      </c>
      <c r="E111" s="5">
        <f t="shared" si="6"/>
        <v>2368.674698795181</v>
      </c>
      <c r="F111" s="8">
        <f t="shared" si="7"/>
        <v>2651.257590361446</v>
      </c>
      <c r="G111" s="33">
        <f t="shared" si="9"/>
        <v>176523440</v>
      </c>
      <c r="H111" s="13">
        <f t="shared" si="5"/>
        <v>15019.294833374232</v>
      </c>
      <c r="J111" s="11">
        <f t="shared" si="8"/>
        <v>2651257590361.4463</v>
      </c>
    </row>
    <row r="112" spans="2:10" ht="12.75">
      <c r="B112">
        <v>1960</v>
      </c>
      <c r="C112" s="5">
        <v>517.9</v>
      </c>
      <c r="D112" s="6">
        <v>0.21</v>
      </c>
      <c r="E112" s="5">
        <f t="shared" si="6"/>
        <v>2466.190476190476</v>
      </c>
      <c r="F112" s="8">
        <f t="shared" si="7"/>
        <v>2760.4069999999997</v>
      </c>
      <c r="G112" s="32">
        <v>179323175</v>
      </c>
      <c r="H112" s="13">
        <f t="shared" si="5"/>
        <v>15393.47605238419</v>
      </c>
      <c r="J112" s="11">
        <f t="shared" si="8"/>
        <v>2760406999999.9995</v>
      </c>
    </row>
    <row r="113" spans="2:10" ht="12.75">
      <c r="B113">
        <v>1961</v>
      </c>
      <c r="C113" s="5">
        <v>530.8</v>
      </c>
      <c r="D113" s="6">
        <v>0.213</v>
      </c>
      <c r="E113" s="5">
        <f t="shared" si="6"/>
        <v>2492.018779342723</v>
      </c>
      <c r="F113" s="8">
        <f t="shared" si="7"/>
        <v>2789.31661971831</v>
      </c>
      <c r="G113" s="33">
        <f>G112+2397886</f>
        <v>181721061</v>
      </c>
      <c r="H113" s="13">
        <f t="shared" si="5"/>
        <v>15349.440534679192</v>
      </c>
      <c r="J113" s="11">
        <f t="shared" si="8"/>
        <v>2789316619718.31</v>
      </c>
    </row>
    <row r="114" spans="2:10" ht="12.75">
      <c r="B114">
        <v>1962</v>
      </c>
      <c r="C114" s="5">
        <v>567.6</v>
      </c>
      <c r="D114" s="6">
        <v>0.2154</v>
      </c>
      <c r="E114" s="5">
        <f t="shared" si="6"/>
        <v>2635.0974930362117</v>
      </c>
      <c r="F114" s="8">
        <f t="shared" si="7"/>
        <v>2949.4646239554318</v>
      </c>
      <c r="G114" s="33">
        <f aca="true" t="shared" si="10" ref="G114:G121">G113+2397886</f>
        <v>184118947</v>
      </c>
      <c r="H114" s="13">
        <f t="shared" si="5"/>
        <v>16019.343321333636</v>
      </c>
      <c r="J114" s="11">
        <f t="shared" si="8"/>
        <v>2949464623955.4316</v>
      </c>
    </row>
    <row r="115" spans="2:10" ht="12.75">
      <c r="B115">
        <v>1963</v>
      </c>
      <c r="C115" s="5">
        <v>598.7</v>
      </c>
      <c r="D115" s="6">
        <v>0.2181</v>
      </c>
      <c r="E115" s="5">
        <f t="shared" si="6"/>
        <v>2745.071068317286</v>
      </c>
      <c r="F115" s="8">
        <f t="shared" si="7"/>
        <v>3072.558046767538</v>
      </c>
      <c r="G115" s="33">
        <f t="shared" si="10"/>
        <v>186516833</v>
      </c>
      <c r="H115" s="13">
        <f t="shared" si="5"/>
        <v>16473.355232058537</v>
      </c>
      <c r="J115" s="11">
        <f t="shared" si="8"/>
        <v>3072558046767.538</v>
      </c>
    </row>
    <row r="116" spans="2:10" ht="12.75">
      <c r="B116">
        <v>1964</v>
      </c>
      <c r="C116" s="5">
        <v>640.4</v>
      </c>
      <c r="D116" s="6">
        <v>0.2207</v>
      </c>
      <c r="E116" s="5">
        <f t="shared" si="6"/>
        <v>2901.6764839148163</v>
      </c>
      <c r="F116" s="8">
        <f t="shared" si="7"/>
        <v>3247.846488445854</v>
      </c>
      <c r="G116" s="33">
        <f t="shared" si="10"/>
        <v>188914719</v>
      </c>
      <c r="H116" s="13">
        <f t="shared" si="5"/>
        <v>17192.13042603554</v>
      </c>
      <c r="J116" s="11">
        <f t="shared" si="8"/>
        <v>3247846488445.854</v>
      </c>
    </row>
    <row r="117" spans="2:10" ht="12.75">
      <c r="B117">
        <v>1965</v>
      </c>
      <c r="C117" s="5">
        <v>687.1</v>
      </c>
      <c r="D117" s="6">
        <v>0.2245</v>
      </c>
      <c r="E117" s="5">
        <f t="shared" si="6"/>
        <v>3060.5790645879733</v>
      </c>
      <c r="F117" s="8">
        <f t="shared" si="7"/>
        <v>3425.7061469933183</v>
      </c>
      <c r="G117" s="33">
        <f t="shared" si="10"/>
        <v>191312605</v>
      </c>
      <c r="H117" s="13">
        <f t="shared" si="5"/>
        <v>17906.327431970927</v>
      </c>
      <c r="J117" s="11">
        <f t="shared" si="8"/>
        <v>3425706146993.3184</v>
      </c>
    </row>
    <row r="118" spans="2:10" ht="12.75">
      <c r="B118">
        <v>1966</v>
      </c>
      <c r="C118" s="5">
        <v>752.9</v>
      </c>
      <c r="D118" s="6">
        <v>0.2293</v>
      </c>
      <c r="E118" s="5">
        <f t="shared" si="6"/>
        <v>3283.47143480157</v>
      </c>
      <c r="F118" s="8">
        <f t="shared" si="7"/>
        <v>3675.1895769733974</v>
      </c>
      <c r="G118" s="33">
        <f t="shared" si="10"/>
        <v>193710491</v>
      </c>
      <c r="H118" s="13">
        <f t="shared" si="5"/>
        <v>18972.58923871809</v>
      </c>
      <c r="J118" s="11">
        <f t="shared" si="8"/>
        <v>3675189576973.3975</v>
      </c>
    </row>
    <row r="119" spans="2:10" ht="12.75">
      <c r="B119">
        <v>1967</v>
      </c>
      <c r="C119" s="5">
        <v>811.8</v>
      </c>
      <c r="D119" s="6">
        <v>0.2367</v>
      </c>
      <c r="E119" s="5">
        <f t="shared" si="6"/>
        <v>3429.657794676806</v>
      </c>
      <c r="F119" s="8">
        <f t="shared" si="7"/>
        <v>3838.815969581749</v>
      </c>
      <c r="G119" s="33">
        <f t="shared" si="10"/>
        <v>196108377</v>
      </c>
      <c r="H119" s="13">
        <f t="shared" si="5"/>
        <v>19574.971902305577</v>
      </c>
      <c r="J119" s="11">
        <f t="shared" si="8"/>
        <v>3838815969581.749</v>
      </c>
    </row>
    <row r="120" spans="2:10" ht="12.75">
      <c r="B120">
        <v>1968</v>
      </c>
      <c r="C120" s="5">
        <v>866.6</v>
      </c>
      <c r="D120" s="6">
        <v>0.2451</v>
      </c>
      <c r="E120" s="5">
        <f t="shared" si="6"/>
        <v>3535.699714402285</v>
      </c>
      <c r="F120" s="8">
        <f t="shared" si="7"/>
        <v>3957.5086903304773</v>
      </c>
      <c r="G120" s="33">
        <f t="shared" si="10"/>
        <v>198506263</v>
      </c>
      <c r="H120" s="13">
        <f t="shared" si="5"/>
        <v>19936.44246040981</v>
      </c>
      <c r="J120" s="11">
        <f t="shared" si="8"/>
        <v>3957508690330.477</v>
      </c>
    </row>
    <row r="121" spans="2:10" ht="12.75">
      <c r="B121">
        <v>1969</v>
      </c>
      <c r="C121" s="5">
        <v>948.6</v>
      </c>
      <c r="D121" s="6">
        <v>0.2563</v>
      </c>
      <c r="E121" s="5">
        <f t="shared" si="6"/>
        <v>3701.1314865392123</v>
      </c>
      <c r="F121" s="8">
        <f t="shared" si="7"/>
        <v>4142.6764728833405</v>
      </c>
      <c r="G121" s="33">
        <f t="shared" si="10"/>
        <v>200904149</v>
      </c>
      <c r="H121" s="13">
        <f t="shared" si="5"/>
        <v>20620.163861739562</v>
      </c>
      <c r="J121" s="11">
        <f t="shared" si="8"/>
        <v>4142676472883.3403</v>
      </c>
    </row>
    <row r="122" spans="2:10" ht="12.75">
      <c r="B122">
        <v>1970</v>
      </c>
      <c r="C122" s="5">
        <v>1012.2</v>
      </c>
      <c r="D122" s="6">
        <v>0.2703</v>
      </c>
      <c r="E122" s="5">
        <f t="shared" si="6"/>
        <v>3744.72807991121</v>
      </c>
      <c r="F122" s="8">
        <f t="shared" si="7"/>
        <v>4191.474139844618</v>
      </c>
      <c r="G122" s="32">
        <v>203302031</v>
      </c>
      <c r="H122" s="13">
        <f t="shared" si="5"/>
        <v>20616.981144888894</v>
      </c>
      <c r="J122" s="11">
        <f t="shared" si="8"/>
        <v>4191474139844.6177</v>
      </c>
    </row>
    <row r="123" spans="2:10" ht="12.75">
      <c r="B123">
        <v>1971</v>
      </c>
      <c r="C123" s="5">
        <v>1079.9</v>
      </c>
      <c r="D123" s="6">
        <v>0.2838</v>
      </c>
      <c r="E123" s="5">
        <f t="shared" si="6"/>
        <v>3805.144467935166</v>
      </c>
      <c r="F123" s="8">
        <f t="shared" si="7"/>
        <v>4259.098202959832</v>
      </c>
      <c r="G123" s="33">
        <f>G122+2324017</f>
        <v>205626048</v>
      </c>
      <c r="H123" s="13">
        <f t="shared" si="5"/>
        <v>20712.834022661522</v>
      </c>
      <c r="J123" s="11">
        <f t="shared" si="8"/>
        <v>4259098202959.8315</v>
      </c>
    </row>
    <row r="124" spans="2:10" ht="12.75">
      <c r="B124">
        <v>1972</v>
      </c>
      <c r="C124" s="5">
        <v>1178.3</v>
      </c>
      <c r="D124" s="6">
        <v>0.2972</v>
      </c>
      <c r="E124" s="5">
        <f t="shared" si="6"/>
        <v>3964.6702557200533</v>
      </c>
      <c r="F124" s="8">
        <f t="shared" si="7"/>
        <v>4437.6554172274555</v>
      </c>
      <c r="G124" s="33">
        <f aca="true" t="shared" si="11" ref="G124:G131">G123+2324017</f>
        <v>207950065</v>
      </c>
      <c r="H124" s="13">
        <f t="shared" si="5"/>
        <v>21340.004953725092</v>
      </c>
      <c r="J124" s="11">
        <f t="shared" si="8"/>
        <v>4437655417227.455</v>
      </c>
    </row>
    <row r="125" spans="2:10" ht="12.75">
      <c r="B125">
        <v>1973</v>
      </c>
      <c r="C125" s="5">
        <v>1307.6</v>
      </c>
      <c r="D125" s="6">
        <v>0.3103</v>
      </c>
      <c r="E125" s="5">
        <f t="shared" si="6"/>
        <v>4213.986464711569</v>
      </c>
      <c r="F125" s="8">
        <f t="shared" si="7"/>
        <v>4716.715049951659</v>
      </c>
      <c r="G125" s="33">
        <f t="shared" si="11"/>
        <v>210274082</v>
      </c>
      <c r="H125" s="13">
        <f t="shared" si="5"/>
        <v>22431.271629337843</v>
      </c>
      <c r="J125" s="11">
        <f t="shared" si="8"/>
        <v>4716715049951.659</v>
      </c>
    </row>
    <row r="126" spans="2:10" ht="12.75">
      <c r="B126">
        <v>1974</v>
      </c>
      <c r="C126" s="5">
        <v>1439.3</v>
      </c>
      <c r="D126" s="6">
        <v>0.3327</v>
      </c>
      <c r="E126" s="5">
        <f t="shared" si="6"/>
        <v>4326.119627291854</v>
      </c>
      <c r="F126" s="8">
        <f t="shared" si="7"/>
        <v>4842.225698827772</v>
      </c>
      <c r="G126" s="33">
        <f t="shared" si="11"/>
        <v>212598099</v>
      </c>
      <c r="H126" s="13">
        <f t="shared" si="5"/>
        <v>22776.42990038106</v>
      </c>
      <c r="J126" s="11">
        <f t="shared" si="8"/>
        <v>4842225698827.772</v>
      </c>
    </row>
    <row r="127" spans="2:10" ht="12.75">
      <c r="B127">
        <v>1975</v>
      </c>
      <c r="C127" s="5">
        <v>1560.7</v>
      </c>
      <c r="D127" s="6">
        <v>0.3673</v>
      </c>
      <c r="E127" s="5">
        <f t="shared" si="6"/>
        <v>4249.115164715491</v>
      </c>
      <c r="F127" s="8">
        <f t="shared" si="7"/>
        <v>4756.034603866049</v>
      </c>
      <c r="G127" s="33">
        <f t="shared" si="11"/>
        <v>214922116</v>
      </c>
      <c r="H127" s="13">
        <f t="shared" si="5"/>
        <v>22129.10747568691</v>
      </c>
      <c r="J127" s="11">
        <f t="shared" si="8"/>
        <v>4756034603866.049</v>
      </c>
    </row>
    <row r="128" spans="2:10" ht="12.75">
      <c r="B128">
        <v>1976</v>
      </c>
      <c r="C128" s="5">
        <v>1736.5</v>
      </c>
      <c r="D128" s="6">
        <v>0.3938</v>
      </c>
      <c r="E128" s="5">
        <f t="shared" si="6"/>
        <v>4409.598781107161</v>
      </c>
      <c r="F128" s="8">
        <f t="shared" si="7"/>
        <v>4935.663915693245</v>
      </c>
      <c r="G128" s="33">
        <f t="shared" si="11"/>
        <v>217246133</v>
      </c>
      <c r="H128" s="13">
        <f t="shared" si="5"/>
        <v>22719.22564298645</v>
      </c>
      <c r="J128" s="11">
        <f t="shared" si="8"/>
        <v>4935663915693.245</v>
      </c>
    </row>
    <row r="129" spans="2:10" ht="12.75">
      <c r="B129">
        <v>1977</v>
      </c>
      <c r="C129" s="5">
        <v>1974.3</v>
      </c>
      <c r="D129" s="6">
        <v>0.4233</v>
      </c>
      <c r="E129" s="5">
        <f t="shared" si="6"/>
        <v>4664.068036853295</v>
      </c>
      <c r="F129" s="8">
        <f t="shared" si="7"/>
        <v>5220.4913536498925</v>
      </c>
      <c r="G129" s="33">
        <f t="shared" si="11"/>
        <v>219570150</v>
      </c>
      <c r="H129" s="13">
        <f aca="true" t="shared" si="12" ref="H129:H158">J129/G129</f>
        <v>23775.96113884284</v>
      </c>
      <c r="J129" s="11">
        <f t="shared" si="8"/>
        <v>5220491353649.893</v>
      </c>
    </row>
    <row r="130" spans="2:10" ht="12.75">
      <c r="B130">
        <v>1978</v>
      </c>
      <c r="C130" s="5">
        <v>2217</v>
      </c>
      <c r="D130" s="6">
        <v>0.4518</v>
      </c>
      <c r="E130" s="5">
        <f t="shared" si="6"/>
        <v>4907.038512616202</v>
      </c>
      <c r="F130" s="8">
        <f t="shared" si="7"/>
        <v>5492.448207171315</v>
      </c>
      <c r="G130" s="33">
        <f t="shared" si="11"/>
        <v>221894167</v>
      </c>
      <c r="H130" s="13">
        <f t="shared" si="12"/>
        <v>24752.557858680957</v>
      </c>
      <c r="J130" s="11">
        <f t="shared" si="8"/>
        <v>5492448207171.314</v>
      </c>
    </row>
    <row r="131" spans="2:10" ht="12.75">
      <c r="B131">
        <v>1979</v>
      </c>
      <c r="C131" s="5">
        <v>2500.7</v>
      </c>
      <c r="D131" s="6">
        <v>0.4882</v>
      </c>
      <c r="E131" s="5">
        <f t="shared" si="6"/>
        <v>5122.28594838181</v>
      </c>
      <c r="F131" s="8">
        <f t="shared" si="7"/>
        <v>5733.37466202376</v>
      </c>
      <c r="G131" s="33">
        <f t="shared" si="11"/>
        <v>224218184</v>
      </c>
      <c r="H131" s="13">
        <f t="shared" si="12"/>
        <v>25570.516002501205</v>
      </c>
      <c r="J131" s="11">
        <f t="shared" si="8"/>
        <v>5733374662023.76</v>
      </c>
    </row>
    <row r="132" spans="2:10" ht="12.75">
      <c r="B132">
        <v>1980</v>
      </c>
      <c r="C132" s="5">
        <v>2726.7</v>
      </c>
      <c r="D132" s="6">
        <v>0.531</v>
      </c>
      <c r="E132" s="5">
        <f t="shared" si="6"/>
        <v>5135.02824858757</v>
      </c>
      <c r="F132" s="8">
        <f t="shared" si="7"/>
        <v>5747.6371186440665</v>
      </c>
      <c r="G132" s="32">
        <v>226542199</v>
      </c>
      <c r="H132" s="13">
        <f t="shared" si="12"/>
        <v>25371.1544428156</v>
      </c>
      <c r="J132" s="11">
        <f t="shared" si="8"/>
        <v>5747637118644.066</v>
      </c>
    </row>
    <row r="133" spans="2:10" ht="12.75">
      <c r="B133">
        <v>1981</v>
      </c>
      <c r="C133" s="5">
        <v>3054.7</v>
      </c>
      <c r="D133" s="6">
        <v>0.583</v>
      </c>
      <c r="E133" s="5">
        <f t="shared" si="6"/>
        <v>5239.622641509434</v>
      </c>
      <c r="F133" s="8">
        <f t="shared" si="7"/>
        <v>5864.70962264151</v>
      </c>
      <c r="G133" s="33">
        <f>G132+2216767</f>
        <v>228758966</v>
      </c>
      <c r="H133" s="13">
        <f t="shared" si="12"/>
        <v>25637.069992008575</v>
      </c>
      <c r="J133" s="11">
        <f t="shared" si="8"/>
        <v>5864709622641.51</v>
      </c>
    </row>
    <row r="134" spans="2:10" ht="12.75">
      <c r="B134">
        <v>1982</v>
      </c>
      <c r="C134" s="5">
        <v>3227.6</v>
      </c>
      <c r="D134" s="6">
        <v>0.6229</v>
      </c>
      <c r="E134" s="5">
        <f t="shared" si="6"/>
        <v>5181.570075453524</v>
      </c>
      <c r="F134" s="8">
        <f t="shared" si="7"/>
        <v>5799.7313854551285</v>
      </c>
      <c r="G134" s="33">
        <f aca="true" t="shared" si="13" ref="G134:G141">G133+2216767</f>
        <v>230975733</v>
      </c>
      <c r="H134" s="13">
        <f t="shared" si="12"/>
        <v>25109.700097607783</v>
      </c>
      <c r="J134" s="11">
        <f t="shared" si="8"/>
        <v>5799731385455.129</v>
      </c>
    </row>
    <row r="135" spans="2:10" ht="12.75">
      <c r="B135">
        <v>1983</v>
      </c>
      <c r="C135" s="5">
        <v>3440.7</v>
      </c>
      <c r="D135" s="6">
        <v>0.6504</v>
      </c>
      <c r="E135" s="5">
        <f t="shared" si="6"/>
        <v>5290.129151291513</v>
      </c>
      <c r="F135" s="8">
        <f t="shared" si="7"/>
        <v>5921.241559040591</v>
      </c>
      <c r="G135" s="33">
        <f t="shared" si="13"/>
        <v>233192500</v>
      </c>
      <c r="H135" s="13">
        <f t="shared" si="12"/>
        <v>25392.075470011216</v>
      </c>
      <c r="J135" s="11">
        <f t="shared" si="8"/>
        <v>5921241559040.591</v>
      </c>
    </row>
    <row r="136" spans="2:10" ht="12.75">
      <c r="B136">
        <v>1984</v>
      </c>
      <c r="C136" s="5">
        <v>3840.2</v>
      </c>
      <c r="D136" s="6">
        <v>0.6744</v>
      </c>
      <c r="E136" s="5">
        <f t="shared" si="6"/>
        <v>5694.246737841044</v>
      </c>
      <c r="F136" s="8">
        <f t="shared" si="7"/>
        <v>6373.5703736654805</v>
      </c>
      <c r="G136" s="33">
        <f t="shared" si="13"/>
        <v>235409267</v>
      </c>
      <c r="H136" s="13">
        <f t="shared" si="12"/>
        <v>27074.424277721744</v>
      </c>
      <c r="J136" s="11">
        <f t="shared" si="8"/>
        <v>6373570373665.48</v>
      </c>
    </row>
    <row r="137" spans="2:10" ht="12.75">
      <c r="B137">
        <v>1985</v>
      </c>
      <c r="C137" s="5">
        <v>4141.5</v>
      </c>
      <c r="D137" s="6">
        <v>0.6963</v>
      </c>
      <c r="E137" s="5">
        <f t="shared" si="6"/>
        <v>5947.867298578199</v>
      </c>
      <c r="F137" s="8">
        <f t="shared" si="7"/>
        <v>6657.447867298578</v>
      </c>
      <c r="G137" s="33">
        <f t="shared" si="13"/>
        <v>237626034</v>
      </c>
      <c r="H137" s="13">
        <f t="shared" si="12"/>
        <v>28016.491944222653</v>
      </c>
      <c r="J137" s="11">
        <f t="shared" si="8"/>
        <v>6657447867298.578</v>
      </c>
    </row>
    <row r="138" spans="2:10" ht="12.75">
      <c r="B138">
        <v>1986</v>
      </c>
      <c r="C138" s="5">
        <v>4412.4</v>
      </c>
      <c r="D138" s="6">
        <v>0.7125</v>
      </c>
      <c r="E138" s="5">
        <f t="shared" si="6"/>
        <v>6192.8421052631575</v>
      </c>
      <c r="F138" s="8">
        <f t="shared" si="7"/>
        <v>6931.648168421052</v>
      </c>
      <c r="G138" s="33">
        <f t="shared" si="13"/>
        <v>239842801</v>
      </c>
      <c r="H138" s="13">
        <f t="shared" si="12"/>
        <v>28900.79727021305</v>
      </c>
      <c r="J138" s="11">
        <f t="shared" si="8"/>
        <v>6931648168421.052</v>
      </c>
    </row>
    <row r="139" spans="2:10" ht="12.75">
      <c r="B139">
        <v>1987</v>
      </c>
      <c r="C139" s="5">
        <v>4647.1</v>
      </c>
      <c r="D139" s="6">
        <v>0.7311</v>
      </c>
      <c r="E139" s="5">
        <f t="shared" si="6"/>
        <v>6356.3124059636175</v>
      </c>
      <c r="F139" s="8">
        <f t="shared" si="7"/>
        <v>7114.620475995077</v>
      </c>
      <c r="G139" s="33">
        <f t="shared" si="13"/>
        <v>242059568</v>
      </c>
      <c r="H139" s="13">
        <f t="shared" si="12"/>
        <v>29392.023355156434</v>
      </c>
      <c r="J139" s="11">
        <f t="shared" si="8"/>
        <v>7114620475995.077</v>
      </c>
    </row>
    <row r="140" spans="2:10" ht="12.75">
      <c r="B140">
        <v>1988</v>
      </c>
      <c r="C140" s="5">
        <v>5008.6</v>
      </c>
      <c r="D140" s="6">
        <v>0.7541</v>
      </c>
      <c r="E140" s="5">
        <f t="shared" si="6"/>
        <v>6641.824691685453</v>
      </c>
      <c r="F140" s="8">
        <f t="shared" si="7"/>
        <v>7434.194377403527</v>
      </c>
      <c r="G140" s="33">
        <f t="shared" si="13"/>
        <v>244276335</v>
      </c>
      <c r="H140" s="13">
        <f t="shared" si="12"/>
        <v>30433.54313222166</v>
      </c>
      <c r="J140" s="11">
        <f t="shared" si="8"/>
        <v>7434194377403.527</v>
      </c>
    </row>
    <row r="141" spans="2:10" ht="12.75">
      <c r="B141">
        <v>1989</v>
      </c>
      <c r="C141" s="5">
        <v>5400.5</v>
      </c>
      <c r="D141" s="6">
        <v>0.7834</v>
      </c>
      <c r="E141" s="5">
        <f t="shared" si="6"/>
        <v>6893.668623946898</v>
      </c>
      <c r="F141" s="8">
        <f t="shared" si="7"/>
        <v>7716.083290783763</v>
      </c>
      <c r="G141" s="33">
        <f t="shared" si="13"/>
        <v>246493102</v>
      </c>
      <c r="H141" s="13">
        <f t="shared" si="12"/>
        <v>31303.4451194653</v>
      </c>
      <c r="J141" s="11">
        <f t="shared" si="8"/>
        <v>7716083290783.763</v>
      </c>
    </row>
    <row r="142" spans="2:10" ht="12.75">
      <c r="B142">
        <v>1990</v>
      </c>
      <c r="C142" s="5">
        <v>5735.4</v>
      </c>
      <c r="D142" s="6">
        <v>0.8125</v>
      </c>
      <c r="E142" s="5">
        <f t="shared" si="6"/>
        <v>7058.953846153846</v>
      </c>
      <c r="F142" s="8">
        <f t="shared" si="7"/>
        <v>7901.087039999999</v>
      </c>
      <c r="G142" s="32">
        <v>248709873</v>
      </c>
      <c r="H142" s="13">
        <f t="shared" si="12"/>
        <v>31768.288667816574</v>
      </c>
      <c r="J142" s="11">
        <f t="shared" si="8"/>
        <v>7901087039999.999</v>
      </c>
    </row>
    <row r="143" spans="2:10" ht="12.75">
      <c r="B143">
        <v>1991</v>
      </c>
      <c r="C143" s="5">
        <v>5935.1</v>
      </c>
      <c r="D143" s="6">
        <v>0.843</v>
      </c>
      <c r="E143" s="5">
        <f t="shared" si="6"/>
        <v>7040.450771055754</v>
      </c>
      <c r="F143" s="8">
        <f t="shared" si="7"/>
        <v>7880.376548042705</v>
      </c>
      <c r="G143" s="34">
        <f>G142+3271203</f>
        <v>251981076</v>
      </c>
      <c r="H143" s="13">
        <f t="shared" si="12"/>
        <v>31273.68401285303</v>
      </c>
      <c r="J143" s="11">
        <f t="shared" si="8"/>
        <v>7880376548042.705</v>
      </c>
    </row>
    <row r="144" spans="2:10" ht="12.75">
      <c r="B144">
        <v>1992</v>
      </c>
      <c r="C144" s="5">
        <v>6239.9</v>
      </c>
      <c r="D144" s="6">
        <v>0.8642</v>
      </c>
      <c r="E144" s="5">
        <f t="shared" si="6"/>
        <v>7220.435084471187</v>
      </c>
      <c r="F144" s="8">
        <f t="shared" si="7"/>
        <v>8081.8329900486</v>
      </c>
      <c r="G144" s="34">
        <f aca="true" t="shared" si="14" ref="G144:G151">G143+3271203</f>
        <v>255252279</v>
      </c>
      <c r="H144" s="13">
        <f t="shared" si="12"/>
        <v>31662.138421293388</v>
      </c>
      <c r="J144" s="11">
        <f t="shared" si="8"/>
        <v>8081832990048.6</v>
      </c>
    </row>
    <row r="145" spans="2:10" ht="12.75">
      <c r="B145">
        <v>1993</v>
      </c>
      <c r="C145" s="5">
        <v>6575.5</v>
      </c>
      <c r="D145" s="6">
        <v>0.8838</v>
      </c>
      <c r="E145" s="5">
        <f t="shared" si="6"/>
        <v>7440.031681375876</v>
      </c>
      <c r="F145" s="8">
        <f t="shared" si="7"/>
        <v>8327.627460964019</v>
      </c>
      <c r="G145" s="34">
        <f t="shared" si="14"/>
        <v>258523482</v>
      </c>
      <c r="H145" s="13">
        <f t="shared" si="12"/>
        <v>32212.267127687915</v>
      </c>
      <c r="J145" s="11">
        <f t="shared" si="8"/>
        <v>8327627460964.019</v>
      </c>
    </row>
    <row r="146" spans="2:10" ht="12.75">
      <c r="B146">
        <v>1994</v>
      </c>
      <c r="C146" s="5">
        <v>6961.3</v>
      </c>
      <c r="D146" s="6">
        <v>0.9028</v>
      </c>
      <c r="E146" s="5">
        <f t="shared" si="6"/>
        <v>7710.788657509969</v>
      </c>
      <c r="F146" s="8">
        <f t="shared" si="7"/>
        <v>8630.685744350909</v>
      </c>
      <c r="G146" s="34">
        <f t="shared" si="14"/>
        <v>261794685</v>
      </c>
      <c r="H146" s="13">
        <f t="shared" si="12"/>
        <v>32967.383368959185</v>
      </c>
      <c r="J146" s="11">
        <f t="shared" si="8"/>
        <v>8630685744350.909</v>
      </c>
    </row>
    <row r="147" spans="2:10" ht="12.75">
      <c r="B147">
        <v>1995</v>
      </c>
      <c r="C147" s="5">
        <v>7325.8</v>
      </c>
      <c r="D147" s="6">
        <v>0.9218</v>
      </c>
      <c r="E147" s="5">
        <f t="shared" si="6"/>
        <v>7947.277066608809</v>
      </c>
      <c r="F147" s="8">
        <f t="shared" si="7"/>
        <v>8895.38722065524</v>
      </c>
      <c r="G147" s="34">
        <f t="shared" si="14"/>
        <v>265065888</v>
      </c>
      <c r="H147" s="13">
        <f t="shared" si="12"/>
        <v>33559.1550001909</v>
      </c>
      <c r="J147" s="11">
        <f t="shared" si="8"/>
        <v>8895387220655.24</v>
      </c>
    </row>
    <row r="148" spans="2:10" ht="12.75">
      <c r="B148">
        <v>1996</v>
      </c>
      <c r="C148" s="5">
        <v>7694.1</v>
      </c>
      <c r="D148" s="6">
        <v>0.9395</v>
      </c>
      <c r="E148" s="5">
        <f t="shared" si="6"/>
        <v>8189.568919638105</v>
      </c>
      <c r="F148" s="8">
        <f t="shared" si="7"/>
        <v>9166.584491750931</v>
      </c>
      <c r="G148" s="34">
        <f t="shared" si="14"/>
        <v>268337091</v>
      </c>
      <c r="H148" s="13">
        <f t="shared" si="12"/>
        <v>34160.70606411594</v>
      </c>
      <c r="J148" s="11">
        <f t="shared" si="8"/>
        <v>9166584491750.932</v>
      </c>
    </row>
    <row r="149" spans="2:10" ht="12.75">
      <c r="B149">
        <v>1997</v>
      </c>
      <c r="C149" s="5">
        <v>8182.4</v>
      </c>
      <c r="D149" s="6">
        <v>0.9559</v>
      </c>
      <c r="E149" s="5">
        <f t="shared" si="6"/>
        <v>8559.891202008579</v>
      </c>
      <c r="F149" s="8">
        <f t="shared" si="7"/>
        <v>9581.086222408203</v>
      </c>
      <c r="G149" s="34">
        <f t="shared" si="14"/>
        <v>271608294</v>
      </c>
      <c r="H149" s="13">
        <f t="shared" si="12"/>
        <v>35275.38162147656</v>
      </c>
      <c r="J149" s="11">
        <f t="shared" si="8"/>
        <v>9581086222408.203</v>
      </c>
    </row>
    <row r="150" spans="2:10" ht="12.75">
      <c r="B150">
        <v>1998</v>
      </c>
      <c r="C150" s="5">
        <v>8627.9</v>
      </c>
      <c r="D150" s="6">
        <v>0.9675</v>
      </c>
      <c r="E150" s="5">
        <f t="shared" si="6"/>
        <v>8917.726098191213</v>
      </c>
      <c r="F150" s="8">
        <f t="shared" si="7"/>
        <v>9981.610821705424</v>
      </c>
      <c r="G150" s="34">
        <f t="shared" si="14"/>
        <v>274879497</v>
      </c>
      <c r="H150" s="13">
        <f t="shared" si="12"/>
        <v>36312.678576043174</v>
      </c>
      <c r="J150" s="11">
        <f t="shared" si="8"/>
        <v>9981610821705.424</v>
      </c>
    </row>
    <row r="151" spans="2:10" ht="12.75">
      <c r="B151">
        <v>1999</v>
      </c>
      <c r="C151" s="5">
        <v>9125.3</v>
      </c>
      <c r="D151" s="6">
        <v>0.9802</v>
      </c>
      <c r="E151" s="5">
        <f t="shared" si="6"/>
        <v>9309.630687614772</v>
      </c>
      <c r="F151" s="8">
        <f t="shared" si="7"/>
        <v>10420.269628647215</v>
      </c>
      <c r="G151" s="34">
        <f t="shared" si="14"/>
        <v>278150700</v>
      </c>
      <c r="H151" s="13">
        <f t="shared" si="12"/>
        <v>37462.67627098265</v>
      </c>
      <c r="J151" s="11">
        <f t="shared" si="8"/>
        <v>10420269628647.215</v>
      </c>
    </row>
    <row r="152" spans="2:10" ht="12.75">
      <c r="B152">
        <v>2000</v>
      </c>
      <c r="C152" s="5">
        <v>9709.8</v>
      </c>
      <c r="D152" s="6">
        <v>1</v>
      </c>
      <c r="E152" s="5">
        <f t="shared" si="6"/>
        <v>9709.8</v>
      </c>
      <c r="F152" s="8">
        <f t="shared" si="7"/>
        <v>10868.179139999998</v>
      </c>
      <c r="G152" s="32">
        <v>281421906</v>
      </c>
      <c r="H152" s="13">
        <f t="shared" si="12"/>
        <v>38618.81007941151</v>
      </c>
      <c r="J152" s="11">
        <f t="shared" si="8"/>
        <v>10868179139999.998</v>
      </c>
    </row>
    <row r="153" spans="2:10" ht="12.75">
      <c r="B153">
        <v>2001</v>
      </c>
      <c r="C153" s="5">
        <v>10057.9</v>
      </c>
      <c r="D153" s="6">
        <v>1.0236</v>
      </c>
      <c r="E153" s="5">
        <f t="shared" si="6"/>
        <v>9826.00625244236</v>
      </c>
      <c r="F153" s="8">
        <f t="shared" si="7"/>
        <v>10998.248798358733</v>
      </c>
      <c r="G153" s="34">
        <f aca="true" t="shared" si="15" ref="G153:G158">G152+2751409</f>
        <v>284173315</v>
      </c>
      <c r="H153" s="13">
        <f t="shared" si="12"/>
        <v>38702.60935077149</v>
      </c>
      <c r="J153" s="11">
        <f t="shared" si="8"/>
        <v>10998248798358.732</v>
      </c>
    </row>
    <row r="154" spans="2:10" ht="12.75">
      <c r="B154">
        <v>2002</v>
      </c>
      <c r="C154" s="5">
        <v>10377.4</v>
      </c>
      <c r="D154" s="6">
        <v>1.0432</v>
      </c>
      <c r="E154" s="5">
        <f t="shared" si="6"/>
        <v>9947.661042944786</v>
      </c>
      <c r="F154" s="8">
        <f t="shared" si="7"/>
        <v>11134.4170053681</v>
      </c>
      <c r="G154" s="34">
        <f t="shared" si="15"/>
        <v>286924724</v>
      </c>
      <c r="H154" s="13">
        <f t="shared" si="12"/>
        <v>38806.05634169086</v>
      </c>
      <c r="J154" s="11">
        <f t="shared" si="8"/>
        <v>11134417005368.1</v>
      </c>
    </row>
    <row r="155" spans="2:10" ht="12.75">
      <c r="B155">
        <v>2003</v>
      </c>
      <c r="C155" s="5">
        <v>10805.5</v>
      </c>
      <c r="D155" s="6">
        <v>1.0638</v>
      </c>
      <c r="E155" s="5">
        <f t="shared" si="6"/>
        <v>10157.454408723443</v>
      </c>
      <c r="F155" s="8">
        <f t="shared" si="7"/>
        <v>11369.238719684148</v>
      </c>
      <c r="G155" s="34">
        <f t="shared" si="15"/>
        <v>289676133</v>
      </c>
      <c r="H155" s="13">
        <f t="shared" si="12"/>
        <v>39248.103051983744</v>
      </c>
      <c r="J155" s="11">
        <f t="shared" si="8"/>
        <v>11369238719684.148</v>
      </c>
    </row>
    <row r="156" spans="2:10" ht="12.75">
      <c r="B156">
        <v>2004</v>
      </c>
      <c r="C156" s="5">
        <v>11546</v>
      </c>
      <c r="D156" s="6">
        <v>1.0893</v>
      </c>
      <c r="E156" s="5">
        <f t="shared" si="6"/>
        <v>10599.467547966584</v>
      </c>
      <c r="F156" s="8">
        <f t="shared" si="7"/>
        <v>11863.984026438997</v>
      </c>
      <c r="G156" s="34">
        <f t="shared" si="15"/>
        <v>292427542</v>
      </c>
      <c r="H156" s="13">
        <f t="shared" si="12"/>
        <v>40570.679305025915</v>
      </c>
      <c r="J156" s="11">
        <f t="shared" si="8"/>
        <v>11863984026438.996</v>
      </c>
    </row>
    <row r="157" spans="2:10" ht="12.75">
      <c r="B157">
        <v>2005</v>
      </c>
      <c r="C157" s="5">
        <v>12290.4</v>
      </c>
      <c r="D157" s="6">
        <v>1.1193</v>
      </c>
      <c r="E157" s="5">
        <f t="shared" si="6"/>
        <v>10980.434199946396</v>
      </c>
      <c r="F157" s="8">
        <f t="shared" si="7"/>
        <v>12290.4</v>
      </c>
      <c r="G157" s="34">
        <f t="shared" si="15"/>
        <v>295178951</v>
      </c>
      <c r="H157" s="13">
        <f t="shared" si="12"/>
        <v>41637.11524267867</v>
      </c>
      <c r="J157" s="11">
        <f t="shared" si="8"/>
        <v>12290400000000</v>
      </c>
    </row>
    <row r="158" spans="2:10" ht="12.75">
      <c r="B158" t="s">
        <v>47</v>
      </c>
      <c r="C158" s="5">
        <v>13030.2</v>
      </c>
      <c r="D158" s="6">
        <v>1.1475</v>
      </c>
      <c r="E158" s="5">
        <f t="shared" si="6"/>
        <v>11355.29411764706</v>
      </c>
      <c r="F158" s="8">
        <f t="shared" si="7"/>
        <v>12709.980705882354</v>
      </c>
      <c r="G158" s="34">
        <f t="shared" si="15"/>
        <v>297930360</v>
      </c>
      <c r="H158" s="13">
        <f t="shared" si="12"/>
        <v>42660.91144884447</v>
      </c>
      <c r="J158" s="16">
        <f t="shared" si="8"/>
        <v>12709980705882.354</v>
      </c>
    </row>
    <row r="159" spans="2:8" ht="83.25" customHeight="1">
      <c r="B159" s="112" t="s">
        <v>88</v>
      </c>
      <c r="C159" s="112"/>
      <c r="D159" s="112"/>
      <c r="E159" s="112"/>
      <c r="F159" s="112"/>
      <c r="G159" s="112"/>
      <c r="H159" s="112"/>
    </row>
    <row r="160" spans="2:8" ht="48" customHeight="1">
      <c r="B160" s="112" t="s">
        <v>61</v>
      </c>
      <c r="C160" s="112"/>
      <c r="D160" s="112"/>
      <c r="E160" s="112"/>
      <c r="F160" s="112"/>
      <c r="G160" s="112"/>
      <c r="H160" s="112"/>
    </row>
    <row r="161" spans="2:3" ht="12.75">
      <c r="B161" s="15"/>
      <c r="C161" s="4"/>
    </row>
    <row r="162" ht="12.75">
      <c r="C162" s="4"/>
    </row>
    <row r="163" spans="2:5" ht="12.75">
      <c r="B163" t="s">
        <v>7</v>
      </c>
      <c r="C163" s="4" t="s">
        <v>50</v>
      </c>
      <c r="D163" t="s">
        <v>51</v>
      </c>
      <c r="E163" t="s">
        <v>52</v>
      </c>
    </row>
    <row r="164" spans="2:5" ht="12.75">
      <c r="B164">
        <v>1940</v>
      </c>
      <c r="C164" s="9">
        <v>132164569</v>
      </c>
      <c r="D164" s="10">
        <f aca="true" t="shared" si="16" ref="D164:D170">C165-C164</f>
        <v>19161229</v>
      </c>
      <c r="E164" s="10">
        <f>19161229/10</f>
        <v>1916122.9</v>
      </c>
    </row>
    <row r="165" spans="2:5" ht="12.75">
      <c r="B165">
        <v>1950</v>
      </c>
      <c r="C165" s="9">
        <v>151325798</v>
      </c>
      <c r="D165" s="10">
        <f t="shared" si="16"/>
        <v>27997377</v>
      </c>
      <c r="E165" s="10">
        <f>27997377/10</f>
        <v>2799737.7</v>
      </c>
    </row>
    <row r="166" spans="2:5" ht="12.75">
      <c r="B166">
        <v>1960</v>
      </c>
      <c r="C166" s="9">
        <v>179323175</v>
      </c>
      <c r="D166" s="10">
        <f t="shared" si="16"/>
        <v>23978856</v>
      </c>
      <c r="E166" s="9">
        <f>23978856/10</f>
        <v>2397885.6</v>
      </c>
    </row>
    <row r="167" spans="2:5" ht="12.75">
      <c r="B167">
        <v>1970</v>
      </c>
      <c r="C167" s="9">
        <v>203302031</v>
      </c>
      <c r="D167" s="10">
        <f t="shared" si="16"/>
        <v>23240168</v>
      </c>
      <c r="E167" s="9">
        <f>23240168/10</f>
        <v>2324016.8</v>
      </c>
    </row>
    <row r="168" spans="2:5" ht="12.75">
      <c r="B168">
        <v>1980</v>
      </c>
      <c r="C168" s="9">
        <v>226542199</v>
      </c>
      <c r="D168" s="10">
        <f t="shared" si="16"/>
        <v>22167674</v>
      </c>
      <c r="E168" s="9">
        <f>22167674/10</f>
        <v>2216767.4</v>
      </c>
    </row>
    <row r="169" spans="2:5" ht="12.75" customHeight="1">
      <c r="B169">
        <v>1990</v>
      </c>
      <c r="C169" s="9">
        <v>248709873</v>
      </c>
      <c r="D169" s="10">
        <f t="shared" si="16"/>
        <v>32712033</v>
      </c>
      <c r="E169" s="9">
        <f>D169/10</f>
        <v>3271203.3</v>
      </c>
    </row>
    <row r="170" spans="2:5" ht="12.75">
      <c r="B170">
        <v>2000</v>
      </c>
      <c r="C170" s="9">
        <v>281421906</v>
      </c>
      <c r="D170" s="10">
        <f t="shared" si="16"/>
        <v>27514094</v>
      </c>
      <c r="E170" s="9">
        <f>D170/10</f>
        <v>2751409.4</v>
      </c>
    </row>
    <row r="171" spans="2:3" ht="12.75">
      <c r="B171" t="s">
        <v>53</v>
      </c>
      <c r="C171" s="9">
        <v>308936000</v>
      </c>
    </row>
    <row r="172" spans="2:5" ht="90" customHeight="1">
      <c r="B172" s="113" t="s">
        <v>89</v>
      </c>
      <c r="C172" s="113"/>
      <c r="D172" s="113"/>
      <c r="E172" s="113"/>
    </row>
    <row r="173" spans="1:5" ht="34.5" customHeight="1">
      <c r="A173" s="18"/>
      <c r="B173" s="112" t="s">
        <v>87</v>
      </c>
      <c r="C173" s="112"/>
      <c r="D173" s="112"/>
      <c r="E173" s="112"/>
    </row>
    <row r="174" spans="2:3" ht="20.25">
      <c r="B174" s="17"/>
      <c r="C174" s="4"/>
    </row>
    <row r="175" ht="12.75">
      <c r="C175" s="4"/>
    </row>
    <row r="176" ht="12.75">
      <c r="C176" s="4"/>
    </row>
    <row r="177" ht="12.75">
      <c r="B177" s="46"/>
    </row>
    <row r="179" ht="12.75">
      <c r="E179" s="58"/>
    </row>
    <row r="180" spans="4:5" ht="12.75">
      <c r="D180" s="20"/>
      <c r="E180" s="60"/>
    </row>
    <row r="181" ht="12.75">
      <c r="E181" s="60"/>
    </row>
    <row r="182" ht="12.75">
      <c r="E182" s="58"/>
    </row>
    <row r="183" ht="12.75">
      <c r="E183" s="58"/>
    </row>
    <row r="184" spans="4:5" ht="12.75">
      <c r="D184" s="20"/>
      <c r="E184" s="60"/>
    </row>
    <row r="185" spans="4:5" ht="12.75">
      <c r="D185" s="20"/>
      <c r="E185" s="60"/>
    </row>
    <row r="186" spans="4:5" ht="12.75">
      <c r="D186" s="20"/>
      <c r="E186" s="60"/>
    </row>
    <row r="187" spans="4:5" ht="12.75">
      <c r="D187" s="20"/>
      <c r="E187" s="60"/>
    </row>
    <row r="188" spans="4:5" ht="12.75">
      <c r="D188" s="20"/>
      <c r="E188" s="60"/>
    </row>
    <row r="189" spans="4:5" ht="12.75">
      <c r="D189" s="20"/>
      <c r="E189" s="60"/>
    </row>
    <row r="190" spans="4:5" ht="12.75">
      <c r="D190" s="20"/>
      <c r="E190" s="60"/>
    </row>
    <row r="191" spans="4:5" ht="12.75">
      <c r="D191" s="20"/>
      <c r="E191" s="60"/>
    </row>
    <row r="192" spans="4:5" ht="12.75">
      <c r="D192" s="20"/>
      <c r="E192" s="60"/>
    </row>
    <row r="193" spans="4:5" ht="12.75">
      <c r="D193" s="20"/>
      <c r="E193" s="60"/>
    </row>
    <row r="194" spans="4:5" ht="12.75">
      <c r="D194" s="20"/>
      <c r="E194" s="60"/>
    </row>
    <row r="195" spans="4:5" ht="12.75">
      <c r="D195" s="20"/>
      <c r="E195" s="60"/>
    </row>
    <row r="196" spans="4:5" ht="12.75">
      <c r="D196" s="20"/>
      <c r="E196" s="60"/>
    </row>
    <row r="197" spans="4:5" ht="12.75">
      <c r="D197" s="20"/>
      <c r="E197" s="60"/>
    </row>
    <row r="198" spans="4:5" ht="12.75">
      <c r="D198" s="20"/>
      <c r="E198" s="60"/>
    </row>
    <row r="199" spans="4:5" ht="12.75">
      <c r="D199" s="20"/>
      <c r="E199" s="60"/>
    </row>
    <row r="200" spans="4:5" ht="12.75">
      <c r="D200" s="20"/>
      <c r="E200" s="60"/>
    </row>
    <row r="201" spans="4:5" ht="12.75">
      <c r="D201" s="20"/>
      <c r="E201" s="60"/>
    </row>
    <row r="202" spans="4:5" ht="12.75">
      <c r="D202" s="20"/>
      <c r="E202" s="60"/>
    </row>
    <row r="203" spans="4:5" ht="12.75">
      <c r="D203" s="20"/>
      <c r="E203" s="60"/>
    </row>
    <row r="204" spans="4:5" ht="12.75">
      <c r="D204" s="20"/>
      <c r="E204" s="60"/>
    </row>
    <row r="205" spans="4:5" ht="12.75">
      <c r="D205" s="20"/>
      <c r="E205" s="60"/>
    </row>
    <row r="206" spans="4:5" ht="12.75">
      <c r="D206" s="20"/>
      <c r="E206" s="60"/>
    </row>
    <row r="207" spans="4:5" ht="12.75">
      <c r="D207" s="20"/>
      <c r="E207" s="60"/>
    </row>
    <row r="208" spans="4:5" ht="12.75">
      <c r="D208" s="20"/>
      <c r="E208" s="60"/>
    </row>
    <row r="209" spans="4:5" ht="12.75">
      <c r="D209" s="20"/>
      <c r="E209" s="60"/>
    </row>
    <row r="210" spans="4:5" ht="12.75">
      <c r="D210" s="20"/>
      <c r="E210" s="60"/>
    </row>
    <row r="211" spans="4:5" ht="12.75">
      <c r="D211" s="20"/>
      <c r="E211" s="60"/>
    </row>
    <row r="212" spans="4:5" ht="12.75">
      <c r="D212" s="20"/>
      <c r="E212" s="60"/>
    </row>
    <row r="213" spans="4:5" ht="12.75">
      <c r="D213" s="20"/>
      <c r="E213" s="60"/>
    </row>
    <row r="214" spans="4:5" ht="12.75">
      <c r="D214" s="20"/>
      <c r="E214" s="60"/>
    </row>
    <row r="215" spans="4:5" ht="12.75">
      <c r="D215" s="20"/>
      <c r="E215" s="60"/>
    </row>
    <row r="216" spans="4:5" ht="12.75">
      <c r="D216" s="20"/>
      <c r="E216" s="60"/>
    </row>
    <row r="217" spans="4:5" ht="12.75">
      <c r="D217" s="20"/>
      <c r="E217" s="60"/>
    </row>
    <row r="218" spans="4:5" ht="12.75">
      <c r="D218" s="20"/>
      <c r="E218" s="60"/>
    </row>
    <row r="219" spans="4:5" ht="12.75">
      <c r="D219" s="20"/>
      <c r="E219" s="60"/>
    </row>
    <row r="220" spans="4:5" ht="12.75">
      <c r="D220" s="20"/>
      <c r="E220" s="60"/>
    </row>
    <row r="221" spans="4:5" ht="12.75">
      <c r="D221" s="20"/>
      <c r="E221" s="60"/>
    </row>
    <row r="222" spans="4:5" ht="12.75">
      <c r="D222" s="20"/>
      <c r="E222" s="60"/>
    </row>
    <row r="223" spans="4:5" ht="12.75">
      <c r="D223" s="20"/>
      <c r="E223" s="60"/>
    </row>
    <row r="224" spans="4:5" ht="12.75">
      <c r="D224" s="20"/>
      <c r="E224" s="58"/>
    </row>
    <row r="225" spans="4:5" ht="12.75">
      <c r="D225" s="20"/>
      <c r="E225" s="59"/>
    </row>
    <row r="226" spans="3:5" ht="12.75">
      <c r="C226" s="11"/>
      <c r="D226" s="20"/>
      <c r="E226" s="59"/>
    </row>
    <row r="227" spans="3:5" ht="12.75">
      <c r="C227" s="11"/>
      <c r="D227" s="20"/>
      <c r="E227" s="59"/>
    </row>
    <row r="228" spans="3:5" ht="12.75">
      <c r="C228" s="11"/>
      <c r="D228" s="20"/>
      <c r="E228" s="59"/>
    </row>
    <row r="229" spans="3:5" ht="12.75">
      <c r="C229" s="11"/>
      <c r="D229" s="20"/>
      <c r="E229" s="59"/>
    </row>
    <row r="230" spans="3:5" ht="12.75">
      <c r="C230" s="11"/>
      <c r="D230" s="20"/>
      <c r="E230" s="59"/>
    </row>
    <row r="231" spans="3:5" ht="12.75">
      <c r="C231" s="11"/>
      <c r="D231" s="20"/>
      <c r="E231" s="59"/>
    </row>
    <row r="232" spans="3:5" ht="12.75">
      <c r="C232" s="11"/>
      <c r="D232" s="20"/>
      <c r="E232" s="59"/>
    </row>
    <row r="233" spans="3:5" ht="12.75">
      <c r="C233" s="11"/>
      <c r="D233" s="20"/>
      <c r="E233" s="59"/>
    </row>
    <row r="234" spans="3:5" ht="12.75">
      <c r="C234" s="11"/>
      <c r="D234" s="20"/>
      <c r="E234" s="59"/>
    </row>
    <row r="235" spans="3:5" ht="12.75">
      <c r="C235" s="11"/>
      <c r="D235" s="20"/>
      <c r="E235" s="59"/>
    </row>
    <row r="236" spans="3:5" ht="12.75">
      <c r="C236" s="11"/>
      <c r="D236" s="20"/>
      <c r="E236" s="59"/>
    </row>
    <row r="237" spans="3:5" ht="12.75">
      <c r="C237" s="11"/>
      <c r="D237" s="20"/>
      <c r="E237" s="59"/>
    </row>
    <row r="238" spans="3:5" ht="12.75">
      <c r="C238" s="11"/>
      <c r="D238" s="20"/>
      <c r="E238" s="59"/>
    </row>
    <row r="239" spans="3:5" ht="12.75">
      <c r="C239" s="11"/>
      <c r="D239" s="20"/>
      <c r="E239" s="59"/>
    </row>
  </sheetData>
  <mergeCells count="5">
    <mergeCell ref="B173:E173"/>
    <mergeCell ref="B160:H160"/>
    <mergeCell ref="B159:H159"/>
    <mergeCell ref="U81:AB81"/>
    <mergeCell ref="B172:E172"/>
  </mergeCells>
  <hyperlinks>
    <hyperlink ref="A86" r:id="rId1" display="http://www.whitehouse.gov/omb/budget/fy2007/pdf/hist.pdf"/>
    <hyperlink ref="A79" r:id="rId2" display="www.census.gov/population/censusdata/urpop0090.txt"/>
    <hyperlink ref="A80" r:id="rId3" display="www.census.gov/ipc/www/usinterproj/natprojtab01a.pdf"/>
    <hyperlink ref="A85" r:id="rId4" display="www.imf.org"/>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F20"/>
  <sheetViews>
    <sheetView workbookViewId="0" topLeftCell="A1">
      <selection activeCell="E2" sqref="E2"/>
    </sheetView>
  </sheetViews>
  <sheetFormatPr defaultColWidth="9.140625" defaultRowHeight="12.75"/>
  <cols>
    <col min="3" max="4" width="14.140625" style="0" bestFit="1" customWidth="1"/>
  </cols>
  <sheetData>
    <row r="1" spans="1:6" ht="12.75">
      <c r="A1" t="s">
        <v>7</v>
      </c>
      <c r="B1" t="s">
        <v>17</v>
      </c>
      <c r="C1" t="s">
        <v>267</v>
      </c>
      <c r="D1" t="s">
        <v>126</v>
      </c>
      <c r="E1" t="s">
        <v>268</v>
      </c>
      <c r="F1" t="s">
        <v>269</v>
      </c>
    </row>
    <row r="2" spans="1:6" ht="12.75">
      <c r="A2">
        <v>1950</v>
      </c>
      <c r="B2">
        <v>273</v>
      </c>
      <c r="C2">
        <v>0.1635</v>
      </c>
      <c r="D2">
        <f>B2/C2</f>
        <v>1669.7247706422017</v>
      </c>
      <c r="E2">
        <v>1.1955</v>
      </c>
      <c r="F2">
        <f>D2*E2</f>
        <v>1996.1559633027523</v>
      </c>
    </row>
    <row r="3" spans="1:6" ht="12.75">
      <c r="A3">
        <v>1951</v>
      </c>
      <c r="B3">
        <v>320.6</v>
      </c>
      <c r="C3">
        <v>0.1723</v>
      </c>
      <c r="D3">
        <f aca="true" t="shared" si="0" ref="D3:D17">B3/C3</f>
        <v>1860.708067324434</v>
      </c>
      <c r="E3">
        <v>1.1955</v>
      </c>
      <c r="F3">
        <f aca="true" t="shared" si="1" ref="F3:F17">D3*E3</f>
        <v>2224.476494486361</v>
      </c>
    </row>
    <row r="4" spans="1:6" ht="12.75">
      <c r="A4">
        <v>1952</v>
      </c>
      <c r="B4">
        <v>348.6</v>
      </c>
      <c r="C4">
        <v>0.1792</v>
      </c>
      <c r="D4">
        <f t="shared" si="0"/>
        <v>1945.3125000000002</v>
      </c>
      <c r="E4">
        <v>1.1955</v>
      </c>
      <c r="F4">
        <f t="shared" si="1"/>
        <v>2325.6210937500005</v>
      </c>
    </row>
    <row r="5" spans="1:6" ht="12.75">
      <c r="A5">
        <v>1953</v>
      </c>
      <c r="B5">
        <v>372.9</v>
      </c>
      <c r="C5">
        <v>0.1825</v>
      </c>
      <c r="D5">
        <f t="shared" si="0"/>
        <v>2043.2876712328766</v>
      </c>
      <c r="E5">
        <v>1.1955</v>
      </c>
      <c r="F5">
        <f t="shared" si="1"/>
        <v>2442.750410958904</v>
      </c>
    </row>
    <row r="6" spans="1:6" ht="12.75">
      <c r="A6">
        <v>1954</v>
      </c>
      <c r="B6">
        <v>377.3</v>
      </c>
      <c r="C6">
        <v>0.1846</v>
      </c>
      <c r="D6">
        <f t="shared" si="0"/>
        <v>2043.8786565547132</v>
      </c>
      <c r="E6">
        <v>1.1955</v>
      </c>
      <c r="F6">
        <f t="shared" si="1"/>
        <v>2443.4569339111595</v>
      </c>
    </row>
    <row r="7" spans="1:6" ht="12.75">
      <c r="A7">
        <v>1955</v>
      </c>
      <c r="B7">
        <v>394.6</v>
      </c>
      <c r="C7">
        <v>0.1862</v>
      </c>
      <c r="D7">
        <f t="shared" si="0"/>
        <v>2119.2266380236306</v>
      </c>
      <c r="E7">
        <v>1.1955</v>
      </c>
      <c r="F7">
        <f t="shared" si="1"/>
        <v>2533.5354457572503</v>
      </c>
    </row>
    <row r="8" spans="1:6" ht="12.75">
      <c r="A8">
        <v>1956</v>
      </c>
      <c r="B8">
        <v>427.2</v>
      </c>
      <c r="C8">
        <v>0.1911</v>
      </c>
      <c r="D8">
        <f t="shared" si="0"/>
        <v>2235.4788069073784</v>
      </c>
      <c r="E8">
        <v>1.1955</v>
      </c>
      <c r="F8">
        <f t="shared" si="1"/>
        <v>2672.5149136577706</v>
      </c>
    </row>
    <row r="9" spans="1:6" ht="12.75">
      <c r="A9">
        <v>1957</v>
      </c>
      <c r="B9">
        <v>450.3</v>
      </c>
      <c r="C9">
        <v>0.1983</v>
      </c>
      <c r="D9">
        <f t="shared" si="0"/>
        <v>2270.801815431165</v>
      </c>
      <c r="E9">
        <v>1.1955</v>
      </c>
      <c r="F9">
        <f t="shared" si="1"/>
        <v>2714.7435703479578</v>
      </c>
    </row>
    <row r="10" spans="1:6" ht="12.75">
      <c r="A10">
        <v>1958</v>
      </c>
      <c r="B10">
        <v>460.5</v>
      </c>
      <c r="C10">
        <v>0.2043</v>
      </c>
      <c r="D10">
        <f t="shared" si="0"/>
        <v>2254.0381791483114</v>
      </c>
      <c r="E10">
        <v>1.1955</v>
      </c>
      <c r="F10">
        <f t="shared" si="1"/>
        <v>2694.7026431718064</v>
      </c>
    </row>
    <row r="11" spans="1:6" ht="12.75">
      <c r="A11">
        <v>1959</v>
      </c>
      <c r="B11">
        <v>491.5</v>
      </c>
      <c r="C11">
        <v>0.2075</v>
      </c>
      <c r="D11">
        <f t="shared" si="0"/>
        <v>2368.674698795181</v>
      </c>
      <c r="E11">
        <v>1.1955</v>
      </c>
      <c r="F11">
        <f t="shared" si="1"/>
        <v>2831.7506024096388</v>
      </c>
    </row>
    <row r="12" spans="1:6" ht="12.75">
      <c r="A12">
        <v>1960</v>
      </c>
      <c r="B12">
        <v>517.9</v>
      </c>
      <c r="C12">
        <v>0.21</v>
      </c>
      <c r="D12">
        <f t="shared" si="0"/>
        <v>2466.190476190476</v>
      </c>
      <c r="E12">
        <v>1.1955</v>
      </c>
      <c r="F12">
        <f t="shared" si="1"/>
        <v>2948.3307142857143</v>
      </c>
    </row>
    <row r="13" spans="1:6" ht="12.75">
      <c r="A13">
        <v>1961</v>
      </c>
      <c r="B13">
        <v>530.8</v>
      </c>
      <c r="C13">
        <v>0.213</v>
      </c>
      <c r="D13">
        <f t="shared" si="0"/>
        <v>2492.018779342723</v>
      </c>
      <c r="E13">
        <v>1.1955</v>
      </c>
      <c r="F13">
        <f t="shared" si="1"/>
        <v>2979.2084507042255</v>
      </c>
    </row>
    <row r="14" spans="1:6" ht="12.75">
      <c r="A14">
        <v>1962</v>
      </c>
      <c r="B14">
        <v>567.6</v>
      </c>
      <c r="C14">
        <v>0.2154</v>
      </c>
      <c r="D14">
        <f t="shared" si="0"/>
        <v>2635.0974930362117</v>
      </c>
      <c r="E14">
        <v>1.1955</v>
      </c>
      <c r="F14">
        <f t="shared" si="1"/>
        <v>3150.2590529247914</v>
      </c>
    </row>
    <row r="15" spans="1:6" ht="12.75">
      <c r="A15">
        <v>1963</v>
      </c>
      <c r="B15">
        <v>598.7</v>
      </c>
      <c r="C15">
        <v>0.2181</v>
      </c>
      <c r="D15">
        <f t="shared" si="0"/>
        <v>2745.071068317286</v>
      </c>
      <c r="E15">
        <v>1.1955</v>
      </c>
      <c r="F15">
        <f t="shared" si="1"/>
        <v>3281.7324621733155</v>
      </c>
    </row>
    <row r="16" spans="1:6" ht="12.75">
      <c r="A16">
        <v>1964</v>
      </c>
      <c r="B16">
        <v>640.4</v>
      </c>
      <c r="C16">
        <v>0.2207</v>
      </c>
      <c r="D16">
        <f t="shared" si="0"/>
        <v>2901.6764839148163</v>
      </c>
      <c r="E16">
        <v>1.1955</v>
      </c>
      <c r="F16">
        <f t="shared" si="1"/>
        <v>3468.954236520163</v>
      </c>
    </row>
    <row r="17" spans="1:6" ht="12.75">
      <c r="A17">
        <v>1965</v>
      </c>
      <c r="B17">
        <v>687.1</v>
      </c>
      <c r="C17">
        <v>0.2245</v>
      </c>
      <c r="D17">
        <f t="shared" si="0"/>
        <v>3060.5790645879733</v>
      </c>
      <c r="E17">
        <v>1.1955</v>
      </c>
      <c r="F17">
        <f t="shared" si="1"/>
        <v>3658.9222717149223</v>
      </c>
    </row>
    <row r="18" spans="1:6" ht="12.75">
      <c r="A18" t="s">
        <v>101</v>
      </c>
      <c r="B18" t="s">
        <v>272</v>
      </c>
      <c r="C18" t="s">
        <v>272</v>
      </c>
      <c r="D18" t="s">
        <v>272</v>
      </c>
      <c r="E18" t="s">
        <v>273</v>
      </c>
      <c r="F18" t="s">
        <v>273</v>
      </c>
    </row>
    <row r="19" ht="12.75">
      <c r="A19" t="s">
        <v>271</v>
      </c>
    </row>
    <row r="20" ht="12.75">
      <c r="A20" t="s">
        <v>270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248"/>
  <sheetViews>
    <sheetView workbookViewId="0" topLeftCell="A84">
      <selection activeCell="A95" sqref="A95"/>
    </sheetView>
  </sheetViews>
  <sheetFormatPr defaultColWidth="9.140625" defaultRowHeight="12.75"/>
  <cols>
    <col min="2" max="2" width="13.140625" style="0" bestFit="1" customWidth="1"/>
    <col min="3" max="3" width="13.7109375" style="0" customWidth="1"/>
    <col min="4" max="4" width="11.7109375" style="0" bestFit="1" customWidth="1"/>
    <col min="5" max="5" width="11.57421875" style="0" bestFit="1" customWidth="1"/>
    <col min="8" max="8" width="13.28125" style="0" bestFit="1" customWidth="1"/>
    <col min="9" max="9" width="11.7109375" style="0" customWidth="1"/>
    <col min="10" max="10" width="11.7109375" style="0" bestFit="1" customWidth="1"/>
    <col min="11" max="11" width="12.57421875" style="0" bestFit="1" customWidth="1"/>
    <col min="12" max="12" width="13.421875" style="0" bestFit="1" customWidth="1"/>
    <col min="13" max="13" width="13.140625" style="0" customWidth="1"/>
    <col min="14" max="14" width="15.28125" style="0" bestFit="1" customWidth="1"/>
  </cols>
  <sheetData>
    <row r="1" spans="1:16" ht="15">
      <c r="A1" t="s">
        <v>95</v>
      </c>
      <c r="I1" s="46"/>
      <c r="K1" s="14"/>
      <c r="P1" s="57"/>
    </row>
    <row r="2" spans="1:16" ht="38.25">
      <c r="A2" s="41" t="s">
        <v>96</v>
      </c>
      <c r="B2" s="41" t="s">
        <v>97</v>
      </c>
      <c r="C2" s="41" t="s">
        <v>98</v>
      </c>
      <c r="D2" s="41" t="s">
        <v>99</v>
      </c>
      <c r="I2" s="18"/>
      <c r="P2" s="11"/>
    </row>
    <row r="3" spans="1:13" ht="12.75">
      <c r="A3" s="41" t="s">
        <v>100</v>
      </c>
      <c r="B3" s="41" t="s">
        <v>99</v>
      </c>
      <c r="C3" s="41" t="s">
        <v>101</v>
      </c>
      <c r="D3" s="41" t="s">
        <v>102</v>
      </c>
      <c r="I3" s="47"/>
      <c r="J3" s="48"/>
      <c r="K3" s="52"/>
      <c r="L3" s="11"/>
      <c r="M3" s="11"/>
    </row>
    <row r="4" spans="1:13" ht="25.5">
      <c r="A4" s="41" t="s">
        <v>103</v>
      </c>
      <c r="B4" s="41" t="s">
        <v>104</v>
      </c>
      <c r="C4" s="41" t="s">
        <v>104</v>
      </c>
      <c r="D4" s="41" t="s">
        <v>104</v>
      </c>
      <c r="I4" s="47"/>
      <c r="J4" s="48"/>
      <c r="K4" s="52"/>
      <c r="L4" s="11"/>
      <c r="M4" s="11"/>
    </row>
    <row r="5" spans="1:13" ht="25.5">
      <c r="A5" s="41" t="s">
        <v>105</v>
      </c>
      <c r="B5" s="41">
        <v>922</v>
      </c>
      <c r="C5" s="41">
        <v>922</v>
      </c>
      <c r="D5" s="41">
        <v>922</v>
      </c>
      <c r="I5" s="47"/>
      <c r="J5" s="48"/>
      <c r="K5" s="52"/>
      <c r="L5" s="11"/>
      <c r="M5" s="11"/>
    </row>
    <row r="6" spans="1:13" ht="25.5">
      <c r="A6" s="41" t="s">
        <v>106</v>
      </c>
      <c r="B6" s="41" t="s">
        <v>107</v>
      </c>
      <c r="C6" s="41" t="s">
        <v>107</v>
      </c>
      <c r="D6" s="41" t="s">
        <v>107</v>
      </c>
      <c r="I6" s="47"/>
      <c r="J6" s="48"/>
      <c r="K6" s="52"/>
      <c r="L6" s="11"/>
      <c r="M6" s="11"/>
    </row>
    <row r="7" spans="1:13" ht="25.5">
      <c r="A7" s="41" t="s">
        <v>108</v>
      </c>
      <c r="B7" s="41" t="s">
        <v>109</v>
      </c>
      <c r="C7" s="41" t="s">
        <v>110</v>
      </c>
      <c r="D7" s="41" t="s">
        <v>111</v>
      </c>
      <c r="I7" s="47"/>
      <c r="J7" s="48"/>
      <c r="K7" s="52"/>
      <c r="L7" s="11"/>
      <c r="M7" s="11"/>
    </row>
    <row r="8" spans="1:17" ht="25.5">
      <c r="A8" s="41" t="s">
        <v>112</v>
      </c>
      <c r="B8" s="41" t="s">
        <v>113</v>
      </c>
      <c r="C8" s="41" t="s">
        <v>114</v>
      </c>
      <c r="D8" s="41" t="s">
        <v>115</v>
      </c>
      <c r="I8" s="47"/>
      <c r="J8" s="48"/>
      <c r="K8" s="52"/>
      <c r="L8" s="11"/>
      <c r="M8" s="11"/>
      <c r="Q8" s="11"/>
    </row>
    <row r="9" spans="1:13" ht="12.75">
      <c r="A9" s="42">
        <v>1991</v>
      </c>
      <c r="B9" s="43" t="s">
        <v>116</v>
      </c>
      <c r="C9" s="43" t="s">
        <v>116</v>
      </c>
      <c r="D9" s="44">
        <v>148.729</v>
      </c>
      <c r="E9" t="s">
        <v>123</v>
      </c>
      <c r="F9" t="s">
        <v>124</v>
      </c>
      <c r="G9" t="s">
        <v>126</v>
      </c>
      <c r="H9" t="s">
        <v>125</v>
      </c>
      <c r="I9" s="47"/>
      <c r="J9" s="48"/>
      <c r="K9" s="52"/>
      <c r="L9" s="11"/>
      <c r="M9" s="11"/>
    </row>
    <row r="10" spans="1:13" ht="12.75">
      <c r="A10" s="42">
        <v>1992</v>
      </c>
      <c r="B10" s="45">
        <v>0.415</v>
      </c>
      <c r="C10" s="44">
        <v>19.0055</v>
      </c>
      <c r="D10" s="44">
        <v>148.806</v>
      </c>
      <c r="E10">
        <f>C10/B10</f>
        <v>45.79638554216868</v>
      </c>
      <c r="F10" s="6">
        <v>0.8642</v>
      </c>
      <c r="G10" s="11">
        <f>E10/F10</f>
        <v>52.99280900505517</v>
      </c>
      <c r="H10" s="11">
        <f>G10*1.1193</f>
        <v>59.31485111935825</v>
      </c>
      <c r="I10" s="47"/>
      <c r="J10" s="48"/>
      <c r="K10" s="52"/>
      <c r="L10" s="11"/>
      <c r="M10" s="11"/>
    </row>
    <row r="11" spans="1:13" ht="12.75">
      <c r="A11" s="42">
        <v>1993</v>
      </c>
      <c r="B11" s="45">
        <v>1.247</v>
      </c>
      <c r="C11" s="44">
        <v>171.51</v>
      </c>
      <c r="D11" s="44">
        <v>148.673</v>
      </c>
      <c r="E11">
        <f aca="true" t="shared" si="0" ref="E11:E23">C11/B11</f>
        <v>137.53809141940656</v>
      </c>
      <c r="F11" s="6">
        <v>0.8838</v>
      </c>
      <c r="G11" s="11">
        <f aca="true" t="shared" si="1" ref="G11:G23">E11/F11</f>
        <v>155.6212847017499</v>
      </c>
      <c r="H11" s="11">
        <f aca="true" t="shared" si="2" ref="H11:H23">G11*1.1193</f>
        <v>174.18690396666864</v>
      </c>
      <c r="I11" s="47"/>
      <c r="J11" s="48"/>
      <c r="K11" s="52"/>
      <c r="L11" s="11"/>
      <c r="M11" s="11"/>
    </row>
    <row r="12" spans="1:13" ht="12.75">
      <c r="A12" s="42">
        <v>1994</v>
      </c>
      <c r="B12" s="45">
        <v>3.55</v>
      </c>
      <c r="C12" s="44">
        <v>610.745</v>
      </c>
      <c r="D12" s="44">
        <v>148.44</v>
      </c>
      <c r="E12">
        <f t="shared" si="0"/>
        <v>172.04084507042253</v>
      </c>
      <c r="F12" s="6">
        <v>0.9028</v>
      </c>
      <c r="G12" s="11">
        <f t="shared" si="1"/>
        <v>190.5636298963475</v>
      </c>
      <c r="H12" s="11">
        <f t="shared" si="2"/>
        <v>213.29787094298175</v>
      </c>
      <c r="I12" s="47"/>
      <c r="J12" s="48"/>
      <c r="K12" s="52"/>
      <c r="L12" s="11"/>
      <c r="M12" s="11"/>
    </row>
    <row r="13" spans="1:13" ht="12.75">
      <c r="A13" s="42">
        <v>1995</v>
      </c>
      <c r="B13" s="45">
        <v>4.64</v>
      </c>
      <c r="C13" s="44">
        <v>1428.52</v>
      </c>
      <c r="D13" s="44">
        <v>148.189</v>
      </c>
      <c r="E13">
        <f t="shared" si="0"/>
        <v>307.87068965517244</v>
      </c>
      <c r="F13" s="6">
        <v>0.9218</v>
      </c>
      <c r="G13" s="11">
        <f t="shared" si="1"/>
        <v>333.988598020365</v>
      </c>
      <c r="H13" s="11">
        <f t="shared" si="2"/>
        <v>373.8334377641945</v>
      </c>
      <c r="I13" s="47"/>
      <c r="J13" s="48"/>
      <c r="K13" s="52"/>
      <c r="L13" s="11"/>
      <c r="M13" s="11"/>
    </row>
    <row r="14" spans="1:13" ht="12.75">
      <c r="A14" s="42">
        <v>1996</v>
      </c>
      <c r="B14" s="45">
        <v>5.56</v>
      </c>
      <c r="C14" s="44">
        <v>2007.83</v>
      </c>
      <c r="D14" s="44">
        <v>147.947</v>
      </c>
      <c r="E14">
        <f t="shared" si="0"/>
        <v>361.1205035971223</v>
      </c>
      <c r="F14" s="6">
        <v>0.9395</v>
      </c>
      <c r="G14" s="11">
        <f t="shared" si="1"/>
        <v>384.37520340300404</v>
      </c>
      <c r="H14" s="11">
        <f t="shared" si="2"/>
        <v>430.2311651689824</v>
      </c>
      <c r="I14" s="47"/>
      <c r="J14" s="48"/>
      <c r="K14" s="52"/>
      <c r="L14" s="11"/>
      <c r="M14" s="11"/>
    </row>
    <row r="15" spans="1:13" ht="12.75">
      <c r="A15" s="42">
        <v>1997</v>
      </c>
      <c r="B15" s="45">
        <v>5.96</v>
      </c>
      <c r="C15" s="44">
        <v>2342.51</v>
      </c>
      <c r="D15" s="44">
        <v>147.691</v>
      </c>
      <c r="E15">
        <f t="shared" si="0"/>
        <v>393.03859060402687</v>
      </c>
      <c r="F15" s="6">
        <v>0.9559</v>
      </c>
      <c r="G15" s="11">
        <f t="shared" si="1"/>
        <v>411.17124239358395</v>
      </c>
      <c r="H15" s="11">
        <f t="shared" si="2"/>
        <v>460.2239716111385</v>
      </c>
      <c r="I15" s="47"/>
      <c r="J15" s="48"/>
      <c r="K15" s="52"/>
      <c r="L15" s="11"/>
      <c r="M15" s="11"/>
    </row>
    <row r="16" spans="1:13" ht="12.75">
      <c r="A16" s="42">
        <v>1998</v>
      </c>
      <c r="B16" s="45">
        <v>20.65</v>
      </c>
      <c r="C16" s="44">
        <v>2629.62</v>
      </c>
      <c r="D16" s="44">
        <v>147.398</v>
      </c>
      <c r="E16">
        <f t="shared" si="0"/>
        <v>127.34237288135594</v>
      </c>
      <c r="F16" s="6">
        <v>0.9675</v>
      </c>
      <c r="G16" s="11">
        <f t="shared" si="1"/>
        <v>131.6200236499803</v>
      </c>
      <c r="H16" s="11">
        <f t="shared" si="2"/>
        <v>147.32229247142297</v>
      </c>
      <c r="I16" s="47"/>
      <c r="J16" s="48"/>
      <c r="K16" s="52"/>
      <c r="L16" s="11"/>
      <c r="M16" s="11"/>
    </row>
    <row r="17" spans="1:13" ht="12.75">
      <c r="A17" s="42">
        <v>1999</v>
      </c>
      <c r="B17" s="44">
        <v>27</v>
      </c>
      <c r="C17" s="44">
        <v>4823.23</v>
      </c>
      <c r="D17" s="44">
        <v>147.03</v>
      </c>
      <c r="E17">
        <f t="shared" si="0"/>
        <v>178.63814814814813</v>
      </c>
      <c r="F17" s="6">
        <v>0.9802</v>
      </c>
      <c r="G17" s="11">
        <f t="shared" si="1"/>
        <v>182.24663145087547</v>
      </c>
      <c r="H17" s="11">
        <f t="shared" si="2"/>
        <v>203.9886545829649</v>
      </c>
      <c r="I17" s="47"/>
      <c r="J17" s="48"/>
      <c r="K17" s="52"/>
      <c r="L17" s="11"/>
      <c r="M17" s="11"/>
    </row>
    <row r="18" spans="1:13" ht="12.75">
      <c r="A18" s="42">
        <v>2000</v>
      </c>
      <c r="B18" s="44">
        <v>28.16</v>
      </c>
      <c r="C18" s="44">
        <v>7305.65</v>
      </c>
      <c r="D18" s="44">
        <v>146.56</v>
      </c>
      <c r="E18">
        <f t="shared" si="0"/>
        <v>259.43359375</v>
      </c>
      <c r="F18" s="6">
        <v>1</v>
      </c>
      <c r="G18" s="11">
        <f t="shared" si="1"/>
        <v>259.43359375</v>
      </c>
      <c r="H18" s="11">
        <f t="shared" si="2"/>
        <v>290.384021484375</v>
      </c>
      <c r="I18" s="47"/>
      <c r="J18" s="48"/>
      <c r="K18" s="52"/>
      <c r="L18" s="11"/>
      <c r="M18" s="11"/>
    </row>
    <row r="19" spans="1:13" ht="12.75">
      <c r="A19" s="42">
        <v>2001</v>
      </c>
      <c r="B19" s="44">
        <v>30.14</v>
      </c>
      <c r="C19" s="44">
        <v>8943.58</v>
      </c>
      <c r="D19" s="44">
        <v>145.985</v>
      </c>
      <c r="E19">
        <f t="shared" si="0"/>
        <v>296.7345719973457</v>
      </c>
      <c r="F19" s="6">
        <v>1.0236</v>
      </c>
      <c r="G19" s="11">
        <f t="shared" si="1"/>
        <v>289.89309495637525</v>
      </c>
      <c r="H19" s="11">
        <f t="shared" si="2"/>
        <v>324.4773411846708</v>
      </c>
      <c r="I19" s="47"/>
      <c r="J19" s="49"/>
      <c r="K19" s="54"/>
      <c r="L19" s="11"/>
      <c r="M19" s="11"/>
    </row>
    <row r="20" spans="1:13" ht="12.75">
      <c r="A20" s="42">
        <v>2002</v>
      </c>
      <c r="B20" s="44">
        <v>31.7844</v>
      </c>
      <c r="C20" s="44">
        <v>10830.5</v>
      </c>
      <c r="D20" s="44">
        <v>145.327</v>
      </c>
      <c r="E20">
        <f t="shared" si="0"/>
        <v>340.7489208542555</v>
      </c>
      <c r="F20" s="6">
        <v>1.0432</v>
      </c>
      <c r="G20" s="11">
        <f t="shared" si="1"/>
        <v>326.63815265937075</v>
      </c>
      <c r="H20" s="11">
        <f t="shared" si="2"/>
        <v>365.6060842716337</v>
      </c>
      <c r="I20" s="47"/>
      <c r="J20" s="49"/>
      <c r="K20" s="54"/>
      <c r="L20" s="11"/>
      <c r="M20" s="11"/>
    </row>
    <row r="21" spans="1:13" ht="12.75">
      <c r="A21" s="42">
        <v>2003</v>
      </c>
      <c r="B21" s="44">
        <v>29.4545</v>
      </c>
      <c r="C21" s="44">
        <v>13243.2</v>
      </c>
      <c r="D21" s="44">
        <v>144.618</v>
      </c>
      <c r="E21">
        <f t="shared" si="0"/>
        <v>449.61550866590846</v>
      </c>
      <c r="F21" s="6">
        <v>1.0638</v>
      </c>
      <c r="G21" s="11">
        <f t="shared" si="1"/>
        <v>422.65041235749993</v>
      </c>
      <c r="H21" s="11">
        <f t="shared" si="2"/>
        <v>473.07260655174963</v>
      </c>
      <c r="I21" s="47"/>
      <c r="J21" s="49"/>
      <c r="K21" s="54"/>
      <c r="L21" s="11"/>
      <c r="M21" s="11"/>
    </row>
    <row r="22" spans="1:13" ht="12.75">
      <c r="A22" s="42">
        <v>2004</v>
      </c>
      <c r="B22" s="44">
        <v>27.7487</v>
      </c>
      <c r="C22" s="44">
        <v>16966.4</v>
      </c>
      <c r="D22" s="44">
        <v>143.899</v>
      </c>
      <c r="E22">
        <f t="shared" si="0"/>
        <v>611.4304453902346</v>
      </c>
      <c r="F22" s="6">
        <v>1.0893</v>
      </c>
      <c r="G22" s="11">
        <f t="shared" si="1"/>
        <v>561.3058343800924</v>
      </c>
      <c r="H22" s="11">
        <f t="shared" si="2"/>
        <v>628.2696204216373</v>
      </c>
      <c r="I22" s="47"/>
      <c r="J22" s="49"/>
      <c r="K22" s="54"/>
      <c r="L22" s="11"/>
      <c r="M22" s="11"/>
    </row>
    <row r="23" spans="1:13" ht="12.75">
      <c r="A23" s="42">
        <v>2005</v>
      </c>
      <c r="B23" s="44">
        <v>28.7825</v>
      </c>
      <c r="C23" s="44">
        <v>21598</v>
      </c>
      <c r="D23" s="45">
        <v>143.202</v>
      </c>
      <c r="E23">
        <f t="shared" si="0"/>
        <v>750.3865195865544</v>
      </c>
      <c r="F23" s="6">
        <v>1.1193</v>
      </c>
      <c r="G23" s="11">
        <f t="shared" si="1"/>
        <v>670.4069682717363</v>
      </c>
      <c r="H23" s="11">
        <f t="shared" si="2"/>
        <v>750.3865195865544</v>
      </c>
      <c r="I23" s="47"/>
      <c r="J23" s="49"/>
      <c r="K23" s="54"/>
      <c r="L23" s="11"/>
      <c r="M23" s="11"/>
    </row>
    <row r="24" spans="1:10" ht="12.75" customHeight="1">
      <c r="A24" s="42">
        <v>2006</v>
      </c>
      <c r="B24" s="43" t="s">
        <v>116</v>
      </c>
      <c r="C24" s="43" t="s">
        <v>116</v>
      </c>
      <c r="D24" s="43" t="s">
        <v>116</v>
      </c>
      <c r="E24" s="65" t="s">
        <v>163</v>
      </c>
      <c r="F24" s="47"/>
      <c r="G24" s="49"/>
      <c r="H24" s="54"/>
      <c r="I24" s="11"/>
      <c r="J24" s="11"/>
    </row>
    <row r="25" spans="5:13" ht="12.75">
      <c r="E25" t="s">
        <v>162</v>
      </c>
      <c r="I25" s="47"/>
      <c r="J25" s="49"/>
      <c r="K25" s="54"/>
      <c r="L25" s="11"/>
      <c r="M25" s="11"/>
    </row>
    <row r="26" spans="9:13" ht="12.75">
      <c r="I26" s="47"/>
      <c r="J26" s="49"/>
      <c r="K26" s="54"/>
      <c r="L26" s="11"/>
      <c r="M26" s="11"/>
    </row>
    <row r="27" spans="9:13" ht="12.75">
      <c r="I27" s="47"/>
      <c r="J27" s="49"/>
      <c r="K27" s="54"/>
      <c r="L27" s="11"/>
      <c r="M27" s="11"/>
    </row>
    <row r="28" spans="9:13" ht="12.75">
      <c r="I28" s="47"/>
      <c r="J28" s="50"/>
      <c r="K28" s="54"/>
      <c r="L28" s="11"/>
      <c r="M28" s="11"/>
    </row>
    <row r="29" spans="1:13" ht="12.75">
      <c r="A29" t="s">
        <v>7</v>
      </c>
      <c r="B29" t="s">
        <v>201</v>
      </c>
      <c r="I29" s="47"/>
      <c r="J29" s="50"/>
      <c r="K29" s="54"/>
      <c r="L29" s="11"/>
      <c r="M29" s="11"/>
    </row>
    <row r="30" spans="1:13" ht="12.75">
      <c r="A30">
        <v>1937</v>
      </c>
      <c r="B30">
        <f>9.998/100</f>
        <v>0.09998</v>
      </c>
      <c r="E30" s="53"/>
      <c r="I30" s="47"/>
      <c r="J30" s="50"/>
      <c r="K30" s="54"/>
      <c r="L30" s="11"/>
      <c r="M30" s="11"/>
    </row>
    <row r="31" spans="1:13" ht="24.75" customHeight="1">
      <c r="A31" s="114" t="s">
        <v>202</v>
      </c>
      <c r="B31" s="114"/>
      <c r="C31" s="114"/>
      <c r="D31" s="114"/>
      <c r="E31" s="114"/>
      <c r="F31" s="114"/>
      <c r="G31" s="114"/>
      <c r="H31" s="114"/>
      <c r="I31" s="47"/>
      <c r="J31" s="50"/>
      <c r="K31" s="54"/>
      <c r="L31" s="11"/>
      <c r="M31" s="11"/>
    </row>
    <row r="32" spans="1:13" ht="12.75">
      <c r="A32" s="114"/>
      <c r="B32" s="114"/>
      <c r="C32" s="114"/>
      <c r="D32" s="114"/>
      <c r="E32" s="114"/>
      <c r="F32" s="114"/>
      <c r="I32" s="47"/>
      <c r="J32" s="50"/>
      <c r="K32" s="54"/>
      <c r="L32" s="11"/>
      <c r="M32" s="11"/>
    </row>
    <row r="33" spans="9:13" ht="12.75">
      <c r="I33" s="47"/>
      <c r="J33" s="50"/>
      <c r="K33" s="54"/>
      <c r="L33" s="11"/>
      <c r="M33" s="11"/>
    </row>
    <row r="34" spans="9:13" ht="12.75">
      <c r="I34" s="47"/>
      <c r="J34" s="50"/>
      <c r="K34" s="54"/>
      <c r="L34" s="11"/>
      <c r="M34" s="11"/>
    </row>
    <row r="35" spans="9:13" ht="12.75">
      <c r="I35" s="47"/>
      <c r="J35" s="50"/>
      <c r="K35" s="54"/>
      <c r="L35" s="11"/>
      <c r="M35" s="11"/>
    </row>
    <row r="36" spans="1:13" ht="12.75">
      <c r="A36" s="21" t="s">
        <v>149</v>
      </c>
      <c r="F36" s="46" t="s">
        <v>147</v>
      </c>
      <c r="I36" s="47"/>
      <c r="J36" s="50"/>
      <c r="K36" s="54"/>
      <c r="L36" s="11"/>
      <c r="M36" s="11"/>
    </row>
    <row r="37" spans="1:13" ht="12.75">
      <c r="A37" s="18" t="s">
        <v>127</v>
      </c>
      <c r="F37" s="18" t="s">
        <v>7</v>
      </c>
      <c r="G37" t="s">
        <v>150</v>
      </c>
      <c r="I37" s="47"/>
      <c r="J37" s="50"/>
      <c r="K37" s="54"/>
      <c r="L37" s="11"/>
      <c r="M37" s="11"/>
    </row>
    <row r="38" spans="1:13" ht="12.75">
      <c r="A38" s="18" t="s">
        <v>7</v>
      </c>
      <c r="B38" t="s">
        <v>128</v>
      </c>
      <c r="F38">
        <v>1945</v>
      </c>
      <c r="I38" s="47"/>
      <c r="J38" s="50"/>
      <c r="K38" s="54"/>
      <c r="L38" s="11"/>
      <c r="M38" s="11"/>
    </row>
    <row r="39" spans="1:13" ht="12.75">
      <c r="A39">
        <v>1950</v>
      </c>
      <c r="B39" s="20">
        <v>178.5</v>
      </c>
      <c r="F39">
        <v>1946</v>
      </c>
      <c r="G39" s="20">
        <v>197</v>
      </c>
      <c r="I39" s="47"/>
      <c r="J39" s="51"/>
      <c r="K39" s="55"/>
      <c r="L39" s="11"/>
      <c r="M39" s="11"/>
    </row>
    <row r="40" spans="1:13" ht="12.75">
      <c r="A40">
        <v>1951</v>
      </c>
      <c r="B40" s="20">
        <v>181.6</v>
      </c>
      <c r="F40">
        <v>1947</v>
      </c>
      <c r="G40">
        <v>211.4</v>
      </c>
      <c r="I40" s="47"/>
      <c r="J40" s="51"/>
      <c r="K40" s="55"/>
      <c r="L40" s="11"/>
      <c r="M40" s="11"/>
    </row>
    <row r="41" spans="1:13" ht="12.75">
      <c r="A41">
        <v>1952</v>
      </c>
      <c r="B41" s="20">
        <v>184.8</v>
      </c>
      <c r="F41">
        <v>1948</v>
      </c>
      <c r="I41" s="47"/>
      <c r="J41" s="51"/>
      <c r="K41" s="55"/>
      <c r="L41" s="11"/>
      <c r="M41" s="11"/>
    </row>
    <row r="42" spans="1:13" ht="12.75">
      <c r="A42">
        <v>1953</v>
      </c>
      <c r="B42" s="20">
        <v>188</v>
      </c>
      <c r="F42">
        <v>1949</v>
      </c>
      <c r="I42" s="47"/>
      <c r="J42" s="51"/>
      <c r="K42" s="55"/>
      <c r="L42" s="11"/>
      <c r="M42" s="11"/>
    </row>
    <row r="43" spans="1:13" ht="12.75">
      <c r="A43">
        <v>1954</v>
      </c>
      <c r="B43" s="20">
        <v>191</v>
      </c>
      <c r="F43">
        <v>1950</v>
      </c>
      <c r="G43" s="20">
        <v>178.5</v>
      </c>
      <c r="I43" s="47"/>
      <c r="J43" s="51"/>
      <c r="K43" s="55"/>
      <c r="L43" s="11"/>
      <c r="M43" s="11"/>
    </row>
    <row r="44" spans="1:13" ht="12.75">
      <c r="A44">
        <v>1955</v>
      </c>
      <c r="B44" s="20">
        <v>194.4</v>
      </c>
      <c r="F44">
        <v>1951</v>
      </c>
      <c r="G44" s="20">
        <v>181.6</v>
      </c>
      <c r="I44" s="47"/>
      <c r="J44" s="51"/>
      <c r="K44" s="55"/>
      <c r="L44" s="11"/>
      <c r="M44" s="11"/>
    </row>
    <row r="45" spans="1:13" ht="12.75">
      <c r="A45">
        <v>1956</v>
      </c>
      <c r="B45" s="20">
        <v>197.9</v>
      </c>
      <c r="F45">
        <v>1952</v>
      </c>
      <c r="G45" s="20">
        <v>184.8</v>
      </c>
      <c r="I45" s="47"/>
      <c r="J45" s="51"/>
      <c r="K45" s="55"/>
      <c r="L45" s="11"/>
      <c r="M45" s="11"/>
    </row>
    <row r="46" spans="1:14" ht="12.75" customHeight="1">
      <c r="A46">
        <v>1957</v>
      </c>
      <c r="B46" s="20">
        <v>201.4</v>
      </c>
      <c r="F46">
        <v>1953</v>
      </c>
      <c r="G46" s="20">
        <v>188</v>
      </c>
      <c r="I46" s="114"/>
      <c r="J46" s="114"/>
      <c r="K46" s="114"/>
      <c r="L46" s="114"/>
      <c r="M46" s="114"/>
      <c r="N46" s="114"/>
    </row>
    <row r="47" spans="1:7" ht="12.75">
      <c r="A47">
        <v>1958</v>
      </c>
      <c r="B47" s="20">
        <v>204.9</v>
      </c>
      <c r="F47">
        <v>1954</v>
      </c>
      <c r="G47" s="20">
        <v>191</v>
      </c>
    </row>
    <row r="48" spans="1:9" ht="12.75">
      <c r="A48">
        <v>1959</v>
      </c>
      <c r="B48" s="20">
        <v>208.8</v>
      </c>
      <c r="F48">
        <v>1955</v>
      </c>
      <c r="G48" s="20">
        <v>194.4</v>
      </c>
      <c r="I48" s="56"/>
    </row>
    <row r="49" spans="1:12" ht="12.75">
      <c r="A49">
        <v>1960</v>
      </c>
      <c r="B49" s="20">
        <v>212.4</v>
      </c>
      <c r="F49">
        <v>1956</v>
      </c>
      <c r="G49" s="20">
        <v>197.9</v>
      </c>
      <c r="I49" s="56"/>
      <c r="L49" s="4"/>
    </row>
    <row r="50" spans="1:12" ht="12.75">
      <c r="A50">
        <v>1961</v>
      </c>
      <c r="B50" s="20">
        <v>216.3</v>
      </c>
      <c r="F50">
        <v>1957</v>
      </c>
      <c r="G50" s="20">
        <v>201.4</v>
      </c>
      <c r="L50" s="4"/>
    </row>
    <row r="51" spans="1:12" ht="12.75">
      <c r="A51">
        <v>1962</v>
      </c>
      <c r="B51" s="20">
        <v>220</v>
      </c>
      <c r="F51">
        <v>1958</v>
      </c>
      <c r="G51" s="20">
        <v>204.9</v>
      </c>
      <c r="L51" s="4"/>
    </row>
    <row r="52" spans="1:12" ht="12.75">
      <c r="A52">
        <v>1963</v>
      </c>
      <c r="B52" s="20">
        <v>223.5</v>
      </c>
      <c r="F52">
        <v>1959</v>
      </c>
      <c r="G52" s="20">
        <v>208.8</v>
      </c>
      <c r="I52" s="18"/>
      <c r="L52" s="4"/>
    </row>
    <row r="53" spans="1:7" ht="12.75">
      <c r="A53">
        <v>1964</v>
      </c>
      <c r="B53" s="20">
        <v>226.7</v>
      </c>
      <c r="F53">
        <v>1960</v>
      </c>
      <c r="G53" s="20">
        <v>212.4</v>
      </c>
    </row>
    <row r="54" spans="1:10" ht="12.75">
      <c r="A54">
        <v>1965</v>
      </c>
      <c r="B54" s="20">
        <v>229.6</v>
      </c>
      <c r="F54">
        <v>1961</v>
      </c>
      <c r="G54" s="20">
        <v>216.3</v>
      </c>
      <c r="I54" s="40"/>
      <c r="J54" s="6"/>
    </row>
    <row r="55" spans="1:7" ht="12.75">
      <c r="A55">
        <v>1966</v>
      </c>
      <c r="B55" s="20">
        <v>232.2</v>
      </c>
      <c r="F55">
        <v>1962</v>
      </c>
      <c r="G55" s="20">
        <v>220</v>
      </c>
    </row>
    <row r="56" spans="1:7" ht="12.75">
      <c r="A56">
        <v>1967</v>
      </c>
      <c r="B56" s="20">
        <v>234.8</v>
      </c>
      <c r="F56">
        <v>1963</v>
      </c>
      <c r="G56" s="20">
        <v>223.5</v>
      </c>
    </row>
    <row r="57" spans="1:7" ht="12.75">
      <c r="A57">
        <v>1968</v>
      </c>
      <c r="B57" s="20">
        <v>237.2</v>
      </c>
      <c r="F57">
        <v>1964</v>
      </c>
      <c r="G57" s="20">
        <v>226.7</v>
      </c>
    </row>
    <row r="58" spans="1:7" ht="12.75">
      <c r="A58">
        <v>1969</v>
      </c>
      <c r="B58" s="20">
        <v>239.5</v>
      </c>
      <c r="F58">
        <v>1965</v>
      </c>
      <c r="G58" s="20">
        <v>229.6</v>
      </c>
    </row>
    <row r="59" spans="1:7" ht="12.75">
      <c r="A59">
        <v>1970</v>
      </c>
      <c r="B59" s="20">
        <v>241.7</v>
      </c>
      <c r="F59">
        <v>1966</v>
      </c>
      <c r="G59" s="20">
        <v>232.2</v>
      </c>
    </row>
    <row r="60" spans="1:9" ht="12.75">
      <c r="A60">
        <v>1971</v>
      </c>
      <c r="B60" s="20">
        <v>243.9</v>
      </c>
      <c r="F60">
        <v>1967</v>
      </c>
      <c r="G60" s="20">
        <v>234.8</v>
      </c>
      <c r="I60" s="39"/>
    </row>
    <row r="61" spans="1:9" ht="12.75">
      <c r="A61">
        <v>1972</v>
      </c>
      <c r="B61" s="20">
        <v>246.3</v>
      </c>
      <c r="F61">
        <v>1968</v>
      </c>
      <c r="G61" s="20">
        <v>237.2</v>
      </c>
      <c r="I61" s="40"/>
    </row>
    <row r="62" spans="1:7" ht="12.75">
      <c r="A62">
        <v>1973</v>
      </c>
      <c r="B62" s="20">
        <v>248.7</v>
      </c>
      <c r="F62">
        <v>1969</v>
      </c>
      <c r="G62" s="20">
        <v>239.5</v>
      </c>
    </row>
    <row r="63" spans="1:7" ht="12.75">
      <c r="A63">
        <v>1974</v>
      </c>
      <c r="B63" s="20">
        <v>250.9</v>
      </c>
      <c r="F63">
        <v>1970</v>
      </c>
      <c r="G63" s="20">
        <v>241.7</v>
      </c>
    </row>
    <row r="64" spans="1:7" ht="12.75">
      <c r="A64">
        <v>1975</v>
      </c>
      <c r="B64" s="20">
        <v>253.3</v>
      </c>
      <c r="F64">
        <v>1971</v>
      </c>
      <c r="G64" s="20">
        <v>243.9</v>
      </c>
    </row>
    <row r="65" spans="1:7" ht="12.75">
      <c r="A65">
        <v>1976</v>
      </c>
      <c r="B65" s="20">
        <v>255.6</v>
      </c>
      <c r="F65">
        <v>1972</v>
      </c>
      <c r="G65" s="20">
        <v>246.3</v>
      </c>
    </row>
    <row r="66" spans="1:9" ht="12.75">
      <c r="A66">
        <v>1977</v>
      </c>
      <c r="B66" s="20">
        <v>257.9</v>
      </c>
      <c r="F66">
        <v>1973</v>
      </c>
      <c r="G66" s="20">
        <v>248.7</v>
      </c>
      <c r="I66" s="40"/>
    </row>
    <row r="67" spans="1:7" ht="12.75">
      <c r="A67">
        <v>1978</v>
      </c>
      <c r="B67" s="20">
        <v>260.1</v>
      </c>
      <c r="F67">
        <v>1974</v>
      </c>
      <c r="G67" s="20">
        <v>250.9</v>
      </c>
    </row>
    <row r="68" spans="1:7" ht="12.75">
      <c r="A68">
        <v>1979</v>
      </c>
      <c r="B68" s="20">
        <v>262.4</v>
      </c>
      <c r="F68">
        <v>1975</v>
      </c>
      <c r="G68" s="20">
        <v>253.3</v>
      </c>
    </row>
    <row r="69" spans="1:7" ht="12.75">
      <c r="A69">
        <v>1980</v>
      </c>
      <c r="B69" s="20">
        <v>264.5</v>
      </c>
      <c r="F69">
        <v>1976</v>
      </c>
      <c r="G69" s="20">
        <v>255.6</v>
      </c>
    </row>
    <row r="70" spans="1:7" ht="12.75">
      <c r="A70">
        <v>1981</v>
      </c>
      <c r="B70" s="20">
        <v>266.6</v>
      </c>
      <c r="F70">
        <v>1977</v>
      </c>
      <c r="G70" s="20">
        <v>257.9</v>
      </c>
    </row>
    <row r="71" spans="1:7" ht="12.75">
      <c r="A71">
        <v>1982</v>
      </c>
      <c r="B71" s="20">
        <v>268.8</v>
      </c>
      <c r="F71">
        <v>1978</v>
      </c>
      <c r="G71" s="20">
        <v>260.1</v>
      </c>
    </row>
    <row r="72" spans="1:7" ht="12.75">
      <c r="A72">
        <v>1983</v>
      </c>
      <c r="B72" s="20">
        <v>271.2</v>
      </c>
      <c r="F72">
        <v>1979</v>
      </c>
      <c r="G72" s="20">
        <v>262.4</v>
      </c>
    </row>
    <row r="73" spans="1:7" ht="12.75">
      <c r="A73">
        <v>1984</v>
      </c>
      <c r="B73" s="20">
        <v>273.8</v>
      </c>
      <c r="F73">
        <v>1980</v>
      </c>
      <c r="G73" s="20">
        <v>264.5</v>
      </c>
    </row>
    <row r="74" spans="1:7" ht="12.75">
      <c r="A74">
        <v>1985</v>
      </c>
      <c r="B74" s="20">
        <v>276.3</v>
      </c>
      <c r="F74">
        <v>1981</v>
      </c>
      <c r="G74" s="20">
        <v>266.6</v>
      </c>
    </row>
    <row r="75" spans="1:7" ht="12.75">
      <c r="A75">
        <v>1986</v>
      </c>
      <c r="B75" s="20">
        <v>278.8</v>
      </c>
      <c r="F75">
        <v>1982</v>
      </c>
      <c r="G75" s="20">
        <v>268.8</v>
      </c>
    </row>
    <row r="76" spans="1:7" ht="12.75">
      <c r="A76">
        <v>1987</v>
      </c>
      <c r="B76" s="20">
        <v>281.7</v>
      </c>
      <c r="F76">
        <v>1983</v>
      </c>
      <c r="G76" s="20">
        <v>271.2</v>
      </c>
    </row>
    <row r="77" spans="1:7" ht="12.75">
      <c r="A77">
        <v>1988</v>
      </c>
      <c r="B77" s="20">
        <v>284.5</v>
      </c>
      <c r="F77">
        <v>1984</v>
      </c>
      <c r="G77" s="20">
        <v>273.8</v>
      </c>
    </row>
    <row r="78" spans="1:7" ht="12.75">
      <c r="A78" t="s">
        <v>164</v>
      </c>
      <c r="F78">
        <v>1985</v>
      </c>
      <c r="G78" s="20">
        <v>276.3</v>
      </c>
    </row>
    <row r="79" spans="6:7" ht="12.75">
      <c r="F79">
        <v>1986</v>
      </c>
      <c r="G79" s="20">
        <v>278.8</v>
      </c>
    </row>
    <row r="80" spans="1:7" ht="12.75">
      <c r="A80" s="21" t="s">
        <v>129</v>
      </c>
      <c r="F80">
        <v>1987</v>
      </c>
      <c r="G80" s="20">
        <v>281.7</v>
      </c>
    </row>
    <row r="81" spans="1:7" ht="12.75">
      <c r="A81" t="s">
        <v>7</v>
      </c>
      <c r="B81" t="s">
        <v>50</v>
      </c>
      <c r="C81" t="s">
        <v>130</v>
      </c>
      <c r="F81">
        <v>1988</v>
      </c>
      <c r="G81" s="20">
        <v>284.5</v>
      </c>
    </row>
    <row r="82" spans="1:7" ht="12.75">
      <c r="A82">
        <v>1946</v>
      </c>
      <c r="B82">
        <v>196963182</v>
      </c>
      <c r="C82">
        <v>1947</v>
      </c>
      <c r="F82">
        <v>1989</v>
      </c>
      <c r="G82" s="20">
        <v>287</v>
      </c>
    </row>
    <row r="83" spans="1:7" ht="12.75">
      <c r="A83">
        <v>1947</v>
      </c>
      <c r="B83">
        <v>211384985</v>
      </c>
      <c r="C83">
        <v>1948</v>
      </c>
      <c r="F83">
        <v>1990</v>
      </c>
      <c r="G83" s="20">
        <v>290.9</v>
      </c>
    </row>
    <row r="84" spans="1:7" ht="12.75">
      <c r="A84">
        <v>1989</v>
      </c>
      <c r="B84">
        <v>287015000</v>
      </c>
      <c r="C84">
        <v>1990</v>
      </c>
      <c r="F84">
        <v>1991</v>
      </c>
      <c r="G84" s="20">
        <v>148.5</v>
      </c>
    </row>
    <row r="85" spans="1:7" ht="12.75">
      <c r="A85">
        <v>1990</v>
      </c>
      <c r="B85">
        <v>290939000</v>
      </c>
      <c r="C85">
        <v>1991</v>
      </c>
      <c r="F85">
        <v>1992</v>
      </c>
      <c r="G85" s="20">
        <v>148.8</v>
      </c>
    </row>
    <row r="86" spans="1:7" ht="12.75">
      <c r="A86">
        <v>1991</v>
      </c>
      <c r="B86">
        <v>148542000</v>
      </c>
      <c r="C86">
        <v>1993</v>
      </c>
      <c r="F86">
        <v>1993</v>
      </c>
      <c r="G86" s="20">
        <v>148.7</v>
      </c>
    </row>
    <row r="87" spans="6:7" ht="12.75">
      <c r="F87">
        <v>1994</v>
      </c>
      <c r="G87" s="20">
        <v>148.4</v>
      </c>
    </row>
    <row r="88" spans="1:7" ht="12.75">
      <c r="A88" t="s">
        <v>7</v>
      </c>
      <c r="B88" t="s">
        <v>131</v>
      </c>
      <c r="C88" t="s">
        <v>130</v>
      </c>
      <c r="F88">
        <v>1995</v>
      </c>
      <c r="G88" s="20">
        <v>148.1</v>
      </c>
    </row>
    <row r="89" spans="1:7" ht="12.75">
      <c r="A89">
        <v>1988</v>
      </c>
      <c r="B89">
        <v>2500</v>
      </c>
      <c r="C89">
        <v>1991</v>
      </c>
      <c r="F89">
        <v>1996</v>
      </c>
      <c r="G89" s="20">
        <v>147.9</v>
      </c>
    </row>
    <row r="90" spans="1:7" ht="12.75">
      <c r="A90">
        <v>1991</v>
      </c>
      <c r="B90">
        <v>479</v>
      </c>
      <c r="C90">
        <v>1995</v>
      </c>
      <c r="F90">
        <v>1997</v>
      </c>
      <c r="G90" s="20">
        <v>147.7</v>
      </c>
    </row>
    <row r="91" spans="6:7" ht="12.75">
      <c r="F91">
        <v>1998</v>
      </c>
      <c r="G91" s="20">
        <v>147.4</v>
      </c>
    </row>
    <row r="92" spans="1:7" ht="12.75">
      <c r="A92" t="s">
        <v>7</v>
      </c>
      <c r="B92" t="s">
        <v>136</v>
      </c>
      <c r="C92" t="s">
        <v>130</v>
      </c>
      <c r="F92">
        <v>1999</v>
      </c>
      <c r="G92" s="20">
        <v>147</v>
      </c>
    </row>
    <row r="93" spans="1:7" ht="12.75">
      <c r="A93">
        <v>1970</v>
      </c>
      <c r="B93" t="s">
        <v>137</v>
      </c>
      <c r="C93">
        <v>1971</v>
      </c>
      <c r="F93">
        <v>2000</v>
      </c>
      <c r="G93" s="20">
        <v>146.6</v>
      </c>
    </row>
    <row r="94" spans="1:7" ht="12.75">
      <c r="A94">
        <v>1982</v>
      </c>
      <c r="B94" t="s">
        <v>151</v>
      </c>
      <c r="C94">
        <v>1984</v>
      </c>
      <c r="F94">
        <v>2001</v>
      </c>
      <c r="G94" s="20">
        <v>146</v>
      </c>
    </row>
    <row r="95" spans="1:7" ht="12.75">
      <c r="A95" t="s">
        <v>165</v>
      </c>
      <c r="F95">
        <v>2002</v>
      </c>
      <c r="G95" s="20">
        <v>145.3</v>
      </c>
    </row>
    <row r="96" spans="6:7" ht="12.75">
      <c r="F96">
        <v>2003</v>
      </c>
      <c r="G96" s="20">
        <v>144.6</v>
      </c>
    </row>
    <row r="97" spans="1:7" ht="12.75">
      <c r="A97" s="21"/>
      <c r="F97">
        <v>2004</v>
      </c>
      <c r="G97" s="20">
        <v>143.9</v>
      </c>
    </row>
    <row r="98" spans="6:7" ht="12.75">
      <c r="F98">
        <v>2005</v>
      </c>
      <c r="G98" s="20">
        <v>143.2</v>
      </c>
    </row>
    <row r="99" spans="6:8" ht="12.75">
      <c r="F99">
        <v>2006</v>
      </c>
      <c r="H99" s="40"/>
    </row>
    <row r="100" spans="6:8" ht="25.5" customHeight="1">
      <c r="F100" s="114" t="s">
        <v>148</v>
      </c>
      <c r="G100" s="114"/>
      <c r="H100" s="114"/>
    </row>
    <row r="101" spans="1:8" ht="12.75">
      <c r="A101" s="21" t="s">
        <v>132</v>
      </c>
      <c r="F101" s="40"/>
      <c r="G101" s="40"/>
      <c r="H101" s="40"/>
    </row>
    <row r="102" spans="1:8" ht="12.75">
      <c r="A102" t="s">
        <v>7</v>
      </c>
      <c r="B102" t="s">
        <v>131</v>
      </c>
      <c r="C102" t="s">
        <v>133</v>
      </c>
      <c r="D102" t="s">
        <v>134</v>
      </c>
      <c r="E102" t="s">
        <v>135</v>
      </c>
      <c r="F102" s="40"/>
      <c r="G102" s="40"/>
      <c r="H102" s="40"/>
    </row>
    <row r="103" spans="1:8" ht="12.75">
      <c r="A103">
        <v>1989</v>
      </c>
      <c r="B103">
        <v>924.1</v>
      </c>
      <c r="C103">
        <v>1991</v>
      </c>
      <c r="D103">
        <v>32</v>
      </c>
      <c r="E103">
        <v>2</v>
      </c>
      <c r="F103" s="40"/>
      <c r="G103" s="40"/>
      <c r="H103" s="40"/>
    </row>
    <row r="104" spans="1:8" ht="12.75">
      <c r="A104">
        <v>1991</v>
      </c>
      <c r="B104">
        <v>479.5</v>
      </c>
      <c r="C104">
        <v>1993</v>
      </c>
      <c r="D104">
        <v>34</v>
      </c>
      <c r="E104">
        <v>2</v>
      </c>
      <c r="F104" s="40"/>
      <c r="G104" s="40"/>
      <c r="H104" s="40"/>
    </row>
    <row r="105" spans="1:8" ht="12.75">
      <c r="A105" t="s">
        <v>166</v>
      </c>
      <c r="F105" s="40"/>
      <c r="G105" s="40"/>
      <c r="H105" s="40"/>
    </row>
    <row r="106" spans="6:8" ht="12.75">
      <c r="F106" s="40"/>
      <c r="G106" s="40"/>
      <c r="H106" s="40"/>
    </row>
    <row r="109" spans="1:5" ht="12.75">
      <c r="A109" s="21" t="s">
        <v>138</v>
      </c>
      <c r="E109" t="s">
        <v>142</v>
      </c>
    </row>
    <row r="110" spans="1:6" ht="12.75">
      <c r="A110" t="s">
        <v>7</v>
      </c>
      <c r="B110" t="s">
        <v>139</v>
      </c>
      <c r="C110" t="s">
        <v>133</v>
      </c>
      <c r="E110" t="s">
        <v>7</v>
      </c>
      <c r="F110" t="s">
        <v>146</v>
      </c>
    </row>
    <row r="111" spans="1:6" ht="12.75">
      <c r="A111">
        <v>1937</v>
      </c>
      <c r="B111" t="s">
        <v>140</v>
      </c>
      <c r="C111">
        <v>1937</v>
      </c>
      <c r="E111">
        <v>1937</v>
      </c>
      <c r="F111">
        <f>24.89/5.03</f>
        <v>4.9483101391650095</v>
      </c>
    </row>
    <row r="112" spans="1:3" ht="12.75">
      <c r="A112">
        <v>1937</v>
      </c>
      <c r="B112" t="s">
        <v>141</v>
      </c>
      <c r="C112">
        <v>1938</v>
      </c>
    </row>
    <row r="113" ht="12.75">
      <c r="A113" t="s">
        <v>143</v>
      </c>
    </row>
    <row r="114" ht="12.75">
      <c r="A114" t="s">
        <v>144</v>
      </c>
    </row>
    <row r="115" ht="12.75">
      <c r="A115" t="s">
        <v>145</v>
      </c>
    </row>
    <row r="116" ht="12.75">
      <c r="A116" t="s">
        <v>167</v>
      </c>
    </row>
    <row r="117" spans="1:3" ht="12.75">
      <c r="A117" s="46" t="s">
        <v>117</v>
      </c>
      <c r="C117" s="66" t="s">
        <v>118</v>
      </c>
    </row>
    <row r="118" spans="1:5" ht="12.75">
      <c r="A118" s="18" t="s">
        <v>7</v>
      </c>
      <c r="B118" t="s">
        <v>119</v>
      </c>
      <c r="C118" t="s">
        <v>120</v>
      </c>
      <c r="D118" t="s">
        <v>121</v>
      </c>
      <c r="E118" t="s">
        <v>122</v>
      </c>
    </row>
    <row r="119" spans="1:5" ht="12.75">
      <c r="A119" s="47">
        <v>1945</v>
      </c>
      <c r="B119" s="48">
        <v>199</v>
      </c>
      <c r="C119" s="52">
        <f>B119/4.94831</f>
        <v>40.21575042792387</v>
      </c>
      <c r="D119" s="11">
        <f>C119/0.09998</f>
        <v>402.23795186961263</v>
      </c>
      <c r="E119" s="11">
        <f aca="true" t="shared" si="3" ref="E119:E154">D119*1.1193</f>
        <v>450.2249395276574</v>
      </c>
    </row>
    <row r="120" spans="1:5" ht="12.75">
      <c r="A120" s="47">
        <v>1946</v>
      </c>
      <c r="B120" s="48">
        <v>198.39999389648438</v>
      </c>
      <c r="C120" s="52">
        <f aca="true" t="shared" si="4" ref="C120:C134">B120/4.94831</f>
        <v>40.09449567559113</v>
      </c>
      <c r="D120" s="11">
        <f aca="true" t="shared" si="5" ref="D120:D134">C120/0.09998</f>
        <v>401.025161788269</v>
      </c>
      <c r="E120" s="11">
        <f t="shared" si="3"/>
        <v>448.86746358960943</v>
      </c>
    </row>
    <row r="121" spans="1:5" ht="12.75">
      <c r="A121" s="47">
        <v>1947</v>
      </c>
      <c r="B121" s="48">
        <v>220.5</v>
      </c>
      <c r="C121" s="52">
        <f t="shared" si="4"/>
        <v>44.560668187724694</v>
      </c>
      <c r="D121" s="11">
        <f t="shared" si="5"/>
        <v>445.69582104145525</v>
      </c>
      <c r="E121" s="11">
        <f t="shared" si="3"/>
        <v>498.86733249170084</v>
      </c>
    </row>
    <row r="122" spans="1:5" ht="12.75">
      <c r="A122" s="47">
        <v>1948</v>
      </c>
      <c r="B122" s="48">
        <v>250.6999969482422</v>
      </c>
      <c r="C122" s="52">
        <f t="shared" si="4"/>
        <v>50.66376135453158</v>
      </c>
      <c r="D122" s="11">
        <f t="shared" si="5"/>
        <v>506.7389613375833</v>
      </c>
      <c r="E122" s="11">
        <f t="shared" si="3"/>
        <v>567.192919425157</v>
      </c>
    </row>
    <row r="123" spans="1:5" ht="12.75">
      <c r="A123" s="47">
        <v>1949</v>
      </c>
      <c r="B123" s="48">
        <v>277.70001220703125</v>
      </c>
      <c r="C123" s="52">
        <f t="shared" si="4"/>
        <v>56.12017278768534</v>
      </c>
      <c r="D123" s="11">
        <f t="shared" si="5"/>
        <v>561.3139906749884</v>
      </c>
      <c r="E123" s="11">
        <f t="shared" si="3"/>
        <v>628.2787497625145</v>
      </c>
    </row>
    <row r="124" spans="1:5" ht="12.75">
      <c r="A124" s="47">
        <v>1950</v>
      </c>
      <c r="B124" s="48">
        <v>304.29998779296875</v>
      </c>
      <c r="C124" s="52">
        <f t="shared" si="4"/>
        <v>61.49574052413222</v>
      </c>
      <c r="D124" s="11">
        <f t="shared" si="5"/>
        <v>615.0804213255874</v>
      </c>
      <c r="E124" s="11">
        <f t="shared" si="3"/>
        <v>688.4595155897299</v>
      </c>
    </row>
    <row r="125" spans="1:5" ht="12.75">
      <c r="A125" s="47">
        <v>1951</v>
      </c>
      <c r="B125" s="48">
        <v>327.1000061035156</v>
      </c>
      <c r="C125" s="52">
        <f t="shared" si="4"/>
        <v>66.10337794186613</v>
      </c>
      <c r="D125" s="11">
        <f t="shared" si="5"/>
        <v>661.1660126211855</v>
      </c>
      <c r="E125" s="11">
        <f t="shared" si="3"/>
        <v>740.0431179268928</v>
      </c>
    </row>
    <row r="126" spans="1:5" ht="12.75">
      <c r="A126" s="47">
        <v>1952</v>
      </c>
      <c r="B126" s="48">
        <v>351.79998779296875</v>
      </c>
      <c r="C126" s="52">
        <f t="shared" si="4"/>
        <v>71.09497743532009</v>
      </c>
      <c r="D126" s="11">
        <f t="shared" si="5"/>
        <v>711.0919927517513</v>
      </c>
      <c r="E126" s="11">
        <f t="shared" si="3"/>
        <v>795.9252674870352</v>
      </c>
    </row>
    <row r="127" spans="1:5" ht="12.75">
      <c r="A127" s="47">
        <v>1953</v>
      </c>
      <c r="B127" s="48">
        <v>374.6000061035156</v>
      </c>
      <c r="C127" s="52">
        <f t="shared" si="4"/>
        <v>75.70261485305399</v>
      </c>
      <c r="D127" s="11">
        <f t="shared" si="5"/>
        <v>757.1775840473493</v>
      </c>
      <c r="E127" s="11">
        <f t="shared" si="3"/>
        <v>847.5088698241981</v>
      </c>
    </row>
    <row r="128" spans="1:5" ht="12.75">
      <c r="A128" s="47">
        <v>1954</v>
      </c>
      <c r="B128" s="48">
        <v>404.1000061035156</v>
      </c>
      <c r="C128" s="52">
        <f t="shared" si="4"/>
        <v>81.66424619789699</v>
      </c>
      <c r="D128" s="11">
        <f t="shared" si="5"/>
        <v>816.8058231435986</v>
      </c>
      <c r="E128" s="11">
        <f t="shared" si="3"/>
        <v>914.2507578446298</v>
      </c>
    </row>
    <row r="129" spans="1:5" ht="12.75">
      <c r="A129" s="47">
        <v>1955</v>
      </c>
      <c r="B129" s="48">
        <v>441.6000061035156</v>
      </c>
      <c r="C129" s="52">
        <f t="shared" si="4"/>
        <v>89.24259112778213</v>
      </c>
      <c r="D129" s="11">
        <f t="shared" si="5"/>
        <v>892.6044321642541</v>
      </c>
      <c r="E129" s="11">
        <f t="shared" si="3"/>
        <v>999.0921409214496</v>
      </c>
    </row>
    <row r="130" spans="1:5" ht="12.75">
      <c r="A130" s="47">
        <v>1956</v>
      </c>
      <c r="B130" s="48">
        <v>483.3999938964844</v>
      </c>
      <c r="C130" s="52">
        <f t="shared" si="4"/>
        <v>97.68991714271829</v>
      </c>
      <c r="D130" s="11">
        <f t="shared" si="5"/>
        <v>977.094590345252</v>
      </c>
      <c r="E130" s="11">
        <f t="shared" si="3"/>
        <v>1093.6619749734405</v>
      </c>
    </row>
    <row r="131" spans="1:5" ht="12.75">
      <c r="A131" s="47">
        <v>1957</v>
      </c>
      <c r="B131" s="48">
        <v>514</v>
      </c>
      <c r="C131" s="52">
        <f t="shared" si="4"/>
        <v>103.87384783895915</v>
      </c>
      <c r="D131" s="11">
        <f t="shared" si="5"/>
        <v>1038.94626764312</v>
      </c>
      <c r="E131" s="11">
        <f t="shared" si="3"/>
        <v>1162.8925573729443</v>
      </c>
    </row>
    <row r="132" spans="1:5" ht="12.75">
      <c r="A132" s="47">
        <v>1958</v>
      </c>
      <c r="B132" s="48">
        <v>558.9000244140625</v>
      </c>
      <c r="C132" s="52">
        <f t="shared" si="4"/>
        <v>112.94765776882663</v>
      </c>
      <c r="D132" s="11">
        <f t="shared" si="5"/>
        <v>1129.7025181919048</v>
      </c>
      <c r="E132" s="11">
        <f t="shared" si="3"/>
        <v>1264.476028612199</v>
      </c>
    </row>
    <row r="133" spans="1:5" ht="12.75">
      <c r="A133" s="47">
        <v>1959</v>
      </c>
      <c r="B133" s="48">
        <v>594.2999877929688</v>
      </c>
      <c r="C133" s="52">
        <f t="shared" si="4"/>
        <v>120.10160798191073</v>
      </c>
      <c r="D133" s="11">
        <f t="shared" si="5"/>
        <v>1201.2563310853243</v>
      </c>
      <c r="E133" s="11">
        <f t="shared" si="3"/>
        <v>1344.5662113838034</v>
      </c>
    </row>
    <row r="134" spans="1:5" ht="12.75">
      <c r="A134" s="47">
        <v>1960</v>
      </c>
      <c r="B134" s="48">
        <v>629</v>
      </c>
      <c r="C134" s="52">
        <f t="shared" si="4"/>
        <v>127.11410562394029</v>
      </c>
      <c r="D134" s="11">
        <f t="shared" si="5"/>
        <v>1271.3953353064642</v>
      </c>
      <c r="E134" s="11">
        <f t="shared" si="3"/>
        <v>1423.0727988085252</v>
      </c>
    </row>
    <row r="135" spans="1:12" ht="12.75">
      <c r="A135" s="47">
        <v>1961</v>
      </c>
      <c r="B135" s="49">
        <v>664.2000122070312</v>
      </c>
      <c r="C135" s="54">
        <f>B135/0.9</f>
        <v>738.000013563368</v>
      </c>
      <c r="D135" s="11">
        <f>C135/0.2703</f>
        <v>2730.2997172155683</v>
      </c>
      <c r="E135" s="11">
        <f t="shared" si="3"/>
        <v>3056.0244734793855</v>
      </c>
      <c r="L135" s="11"/>
    </row>
    <row r="136" spans="1:12" ht="12.75">
      <c r="A136" s="47">
        <v>1962</v>
      </c>
      <c r="B136" s="49">
        <v>689.0999755859375</v>
      </c>
      <c r="C136" s="54">
        <f aca="true" t="shared" si="6" ref="C136:C154">B136/0.9</f>
        <v>765.6666395399305</v>
      </c>
      <c r="D136" s="11">
        <f aca="true" t="shared" si="7" ref="D136:D154">C136/0.2703</f>
        <v>2832.6549742505754</v>
      </c>
      <c r="E136" s="11">
        <f t="shared" si="3"/>
        <v>3170.5907126786688</v>
      </c>
      <c r="L136" s="11"/>
    </row>
    <row r="137" spans="1:12" ht="12.75">
      <c r="A137" s="47">
        <v>1963</v>
      </c>
      <c r="B137" s="49">
        <v>681.5</v>
      </c>
      <c r="C137" s="54">
        <f t="shared" si="6"/>
        <v>757.2222222222222</v>
      </c>
      <c r="D137" s="11">
        <f t="shared" si="7"/>
        <v>2801.414066674888</v>
      </c>
      <c r="E137" s="11">
        <f t="shared" si="3"/>
        <v>3135.622764829202</v>
      </c>
      <c r="I137" s="11"/>
      <c r="L137" s="11"/>
    </row>
    <row r="138" spans="1:12" ht="12.75">
      <c r="A138" s="47">
        <v>1964</v>
      </c>
      <c r="B138" s="49">
        <v>756.5</v>
      </c>
      <c r="C138" s="54">
        <f t="shared" si="6"/>
        <v>840.5555555555555</v>
      </c>
      <c r="D138" s="11">
        <f t="shared" si="7"/>
        <v>3109.713487071978</v>
      </c>
      <c r="E138" s="11">
        <f t="shared" si="3"/>
        <v>3480.7023060796646</v>
      </c>
      <c r="I138" s="11"/>
      <c r="L138" s="11"/>
    </row>
    <row r="139" spans="1:12" ht="12.75">
      <c r="A139" s="47">
        <v>1965</v>
      </c>
      <c r="B139" s="49">
        <v>803.5999755859375</v>
      </c>
      <c r="C139" s="54">
        <f t="shared" si="6"/>
        <v>892.8888617621527</v>
      </c>
      <c r="D139" s="11">
        <f t="shared" si="7"/>
        <v>3303.3254227234656</v>
      </c>
      <c r="E139" s="11">
        <f t="shared" si="3"/>
        <v>3697.412145654375</v>
      </c>
      <c r="I139" s="11"/>
      <c r="L139" s="11"/>
    </row>
    <row r="140" spans="1:12" ht="12.75">
      <c r="A140" s="47">
        <v>1966</v>
      </c>
      <c r="B140" s="49">
        <v>844.5</v>
      </c>
      <c r="C140" s="54">
        <f t="shared" si="6"/>
        <v>938.3333333333333</v>
      </c>
      <c r="D140" s="11">
        <f t="shared" si="7"/>
        <v>3471.4514736712295</v>
      </c>
      <c r="E140" s="11">
        <f t="shared" si="3"/>
        <v>3885.595634480207</v>
      </c>
      <c r="I140" s="11"/>
      <c r="L140" s="11"/>
    </row>
    <row r="141" spans="1:12" ht="12.75">
      <c r="A141" s="47">
        <v>1967</v>
      </c>
      <c r="B141" s="49">
        <v>883.5</v>
      </c>
      <c r="C141" s="54">
        <f t="shared" si="6"/>
        <v>981.6666666666666</v>
      </c>
      <c r="D141" s="11">
        <f t="shared" si="7"/>
        <v>3631.7671722777163</v>
      </c>
      <c r="E141" s="11">
        <f t="shared" si="3"/>
        <v>4065.0369959304476</v>
      </c>
      <c r="I141" s="11"/>
      <c r="L141" s="11"/>
    </row>
    <row r="142" spans="1:12" ht="12.75">
      <c r="A142" s="47">
        <v>1968</v>
      </c>
      <c r="B142" s="49">
        <v>936.9000244140625</v>
      </c>
      <c r="C142" s="54">
        <f t="shared" si="6"/>
        <v>1041.000027126736</v>
      </c>
      <c r="D142" s="11">
        <f t="shared" si="7"/>
        <v>3851.2764599583284</v>
      </c>
      <c r="E142" s="11">
        <f t="shared" si="3"/>
        <v>4310.733741631357</v>
      </c>
      <c r="I142" s="11"/>
      <c r="L142" s="11"/>
    </row>
    <row r="143" spans="1:12" ht="12.75">
      <c r="A143" s="47">
        <v>1969</v>
      </c>
      <c r="B143" s="49">
        <v>963.7000122070312</v>
      </c>
      <c r="C143" s="54">
        <f t="shared" si="6"/>
        <v>1070.7777913411458</v>
      </c>
      <c r="D143" s="11">
        <f t="shared" si="7"/>
        <v>3961.442069334613</v>
      </c>
      <c r="E143" s="11">
        <f t="shared" si="3"/>
        <v>4434.042108206232</v>
      </c>
      <c r="I143" s="11"/>
      <c r="L143" s="11"/>
    </row>
    <row r="144" spans="1:12" ht="12.75">
      <c r="A144" s="47">
        <v>1970</v>
      </c>
      <c r="B144" s="50">
        <v>1037.9000244140625</v>
      </c>
      <c r="C144" s="54">
        <f t="shared" si="6"/>
        <v>1153.2222493489583</v>
      </c>
      <c r="D144" s="11">
        <f t="shared" si="7"/>
        <v>4266.453012759742</v>
      </c>
      <c r="E144" s="11">
        <f t="shared" si="3"/>
        <v>4775.440857181979</v>
      </c>
      <c r="I144" s="11"/>
      <c r="L144" s="11"/>
    </row>
    <row r="145" spans="1:12" ht="12.75">
      <c r="A145" s="47">
        <v>1971</v>
      </c>
      <c r="B145" s="50">
        <v>1078.199951171875</v>
      </c>
      <c r="C145" s="54">
        <f t="shared" si="6"/>
        <v>1197.9999457465278</v>
      </c>
      <c r="D145" s="11">
        <f t="shared" si="7"/>
        <v>4432.112266912793</v>
      </c>
      <c r="E145" s="11">
        <f t="shared" si="3"/>
        <v>4960.863260355489</v>
      </c>
      <c r="I145" s="11"/>
      <c r="L145" s="11"/>
    </row>
    <row r="146" spans="1:12" ht="12.75">
      <c r="A146" s="47">
        <v>1972</v>
      </c>
      <c r="B146" s="50">
        <v>1098.5</v>
      </c>
      <c r="C146" s="54">
        <f t="shared" si="6"/>
        <v>1220.5555555555554</v>
      </c>
      <c r="D146" s="11">
        <f t="shared" si="7"/>
        <v>4515.558844082706</v>
      </c>
      <c r="E146" s="11">
        <f t="shared" si="3"/>
        <v>5054.265014181773</v>
      </c>
      <c r="I146" s="11"/>
      <c r="L146" s="11"/>
    </row>
    <row r="147" spans="1:12" ht="12.75">
      <c r="A147" s="47">
        <v>1973</v>
      </c>
      <c r="B147" s="50">
        <v>1178.4000244140625</v>
      </c>
      <c r="C147" s="54">
        <f t="shared" si="6"/>
        <v>1309.3333604600693</v>
      </c>
      <c r="D147" s="11">
        <f t="shared" si="7"/>
        <v>4844.000593636957</v>
      </c>
      <c r="E147" s="11">
        <f t="shared" si="3"/>
        <v>5421.889864457846</v>
      </c>
      <c r="I147" s="11"/>
      <c r="L147" s="11"/>
    </row>
    <row r="148" spans="1:12" ht="12.75">
      <c r="A148" s="47">
        <v>1974</v>
      </c>
      <c r="B148" s="50">
        <v>1224.4000244140625</v>
      </c>
      <c r="C148" s="54">
        <f t="shared" si="6"/>
        <v>1360.4444715711804</v>
      </c>
      <c r="D148" s="11">
        <f t="shared" si="7"/>
        <v>5033.090904813838</v>
      </c>
      <c r="E148" s="11">
        <f t="shared" si="3"/>
        <v>5633.538649758129</v>
      </c>
      <c r="I148" s="11"/>
      <c r="L148" s="11"/>
    </row>
    <row r="149" spans="1:9" ht="12.75">
      <c r="A149" s="47">
        <v>1975</v>
      </c>
      <c r="B149" s="50">
        <v>1244.699951171875</v>
      </c>
      <c r="C149" s="54">
        <f t="shared" si="6"/>
        <v>1382.9999457465278</v>
      </c>
      <c r="D149" s="11">
        <f t="shared" si="7"/>
        <v>5116.536980194332</v>
      </c>
      <c r="E149" s="11">
        <f t="shared" si="3"/>
        <v>5726.939841931515</v>
      </c>
      <c r="I149" s="11"/>
    </row>
    <row r="150" spans="1:9" ht="12.75">
      <c r="A150" s="47">
        <v>1976</v>
      </c>
      <c r="B150" s="50">
        <v>1304</v>
      </c>
      <c r="C150" s="54">
        <f t="shared" si="6"/>
        <v>1448.888888888889</v>
      </c>
      <c r="D150" s="11">
        <f t="shared" si="7"/>
        <v>5360.299255970733</v>
      </c>
      <c r="E150" s="11">
        <f t="shared" si="3"/>
        <v>5999.782957208041</v>
      </c>
      <c r="I150" s="11"/>
    </row>
    <row r="151" spans="1:5" ht="12.75">
      <c r="A151" s="47">
        <v>1977</v>
      </c>
      <c r="B151" s="50">
        <v>1345.699951171875</v>
      </c>
      <c r="C151" s="54">
        <f t="shared" si="6"/>
        <v>1495.22216796875</v>
      </c>
      <c r="D151" s="11">
        <f t="shared" si="7"/>
        <v>5531.7135329957455</v>
      </c>
      <c r="E151" s="11">
        <f t="shared" si="3"/>
        <v>6191.646957482138</v>
      </c>
    </row>
    <row r="152" spans="1:5" ht="12.75">
      <c r="A152" s="47">
        <v>1978</v>
      </c>
      <c r="B152" s="50">
        <v>1392</v>
      </c>
      <c r="C152" s="54">
        <f t="shared" si="6"/>
        <v>1546.6666666666665</v>
      </c>
      <c r="D152" s="11">
        <f t="shared" si="7"/>
        <v>5722.037242569983</v>
      </c>
      <c r="E152" s="11">
        <f t="shared" si="3"/>
        <v>6404.6762856085825</v>
      </c>
    </row>
    <row r="153" spans="1:5" ht="12.75">
      <c r="A153" s="47">
        <v>1979</v>
      </c>
      <c r="B153" s="50">
        <v>1403.0999755859375</v>
      </c>
      <c r="C153" s="54">
        <f t="shared" si="6"/>
        <v>1558.999972873264</v>
      </c>
      <c r="D153" s="11">
        <f t="shared" si="7"/>
        <v>5767.665456430869</v>
      </c>
      <c r="E153" s="11">
        <f t="shared" si="3"/>
        <v>6455.747945383072</v>
      </c>
    </row>
    <row r="154" spans="1:5" ht="12.75">
      <c r="A154" s="47">
        <v>1980</v>
      </c>
      <c r="B154" s="50">
        <v>1422.5999755859375</v>
      </c>
      <c r="C154" s="54">
        <f t="shared" si="6"/>
        <v>1580.6666395399304</v>
      </c>
      <c r="D154" s="11">
        <f t="shared" si="7"/>
        <v>5847.823305734112</v>
      </c>
      <c r="E154" s="11">
        <f t="shared" si="3"/>
        <v>6545.4686261081915</v>
      </c>
    </row>
    <row r="155" spans="1:5" ht="12.75">
      <c r="A155" s="47">
        <v>1981</v>
      </c>
      <c r="B155" s="51">
        <v>1437.4000244140625</v>
      </c>
      <c r="C155" s="55">
        <f>B155/0.74</f>
        <v>1942.4324654244087</v>
      </c>
      <c r="D155" s="11">
        <f>C155/0.6229</f>
        <v>3118.3696667593654</v>
      </c>
      <c r="E155" s="11">
        <f>D155*1.1193</f>
        <v>3490.3911680037577</v>
      </c>
    </row>
    <row r="156" spans="1:5" ht="12.75">
      <c r="A156" s="47">
        <v>1982</v>
      </c>
      <c r="B156" s="51">
        <v>1475.5999755859375</v>
      </c>
      <c r="C156" s="55">
        <f aca="true" t="shared" si="8" ref="C156:C161">B156/0.74</f>
        <v>1994.0540210620777</v>
      </c>
      <c r="D156" s="11">
        <f aca="true" t="shared" si="9" ref="D156:D161">C156/0.6229</f>
        <v>3201.242608865111</v>
      </c>
      <c r="E156" s="11">
        <f aca="true" t="shared" si="10" ref="E156:E161">D156*1.1193</f>
        <v>3583.1508521027185</v>
      </c>
    </row>
    <row r="157" spans="1:5" ht="12.75">
      <c r="A157" s="47">
        <v>1983</v>
      </c>
      <c r="B157" s="51">
        <v>1523.699951171875</v>
      </c>
      <c r="C157" s="55">
        <f t="shared" si="8"/>
        <v>2059.0539880701012</v>
      </c>
      <c r="D157" s="11">
        <f t="shared" si="9"/>
        <v>3305.593173976724</v>
      </c>
      <c r="E157" s="11">
        <f t="shared" si="10"/>
        <v>3699.9504396321468</v>
      </c>
    </row>
    <row r="158" spans="1:5" ht="12.75">
      <c r="A158" s="47">
        <v>1984</v>
      </c>
      <c r="B158" s="51">
        <v>1545.300048828125</v>
      </c>
      <c r="C158" s="55">
        <f t="shared" si="8"/>
        <v>2088.243309227196</v>
      </c>
      <c r="D158" s="11">
        <f t="shared" si="9"/>
        <v>3352.4535386533885</v>
      </c>
      <c r="E158" s="11">
        <f t="shared" si="10"/>
        <v>3752.4012458147376</v>
      </c>
    </row>
    <row r="159" spans="1:5" ht="12.75">
      <c r="A159" s="47">
        <v>1985</v>
      </c>
      <c r="B159" s="51">
        <v>1556.4000244140625</v>
      </c>
      <c r="C159" s="55">
        <f t="shared" si="8"/>
        <v>2103.2432762352196</v>
      </c>
      <c r="D159" s="11">
        <f t="shared" si="9"/>
        <v>3376.5343975521264</v>
      </c>
      <c r="E159" s="11">
        <f t="shared" si="10"/>
        <v>3779.3549511800948</v>
      </c>
    </row>
    <row r="160" spans="1:5" ht="12.75">
      <c r="A160" s="47">
        <v>1986</v>
      </c>
      <c r="B160" s="51">
        <v>1617.199951171875</v>
      </c>
      <c r="C160" s="55">
        <f t="shared" si="8"/>
        <v>2185.405339421453</v>
      </c>
      <c r="D160" s="11">
        <f t="shared" si="9"/>
        <v>3508.436891028179</v>
      </c>
      <c r="E160" s="11">
        <f t="shared" si="10"/>
        <v>3926.9934121278407</v>
      </c>
    </row>
    <row r="161" spans="1:5" ht="12.75">
      <c r="A161" s="47">
        <v>1987</v>
      </c>
      <c r="B161" s="51">
        <v>1625.5999755859375</v>
      </c>
      <c r="C161" s="55">
        <f t="shared" si="8"/>
        <v>2196.7567237647804</v>
      </c>
      <c r="D161" s="11">
        <f t="shared" si="9"/>
        <v>3526.660336755146</v>
      </c>
      <c r="E161" s="11">
        <f t="shared" si="10"/>
        <v>3947.390914930035</v>
      </c>
    </row>
    <row r="162" spans="1:5" ht="12.75">
      <c r="A162" s="47" t="s">
        <v>168</v>
      </c>
      <c r="B162" s="51"/>
      <c r="C162" s="55"/>
      <c r="D162" s="11"/>
      <c r="E162" s="11"/>
    </row>
    <row r="163" spans="1:8" ht="12.75">
      <c r="A163" s="114" t="s">
        <v>169</v>
      </c>
      <c r="B163" s="114"/>
      <c r="C163" s="114"/>
      <c r="D163" s="114"/>
      <c r="E163" s="114"/>
      <c r="F163" s="114"/>
      <c r="G163" s="114"/>
      <c r="H163" s="114"/>
    </row>
    <row r="165" spans="1:4" ht="12.75">
      <c r="A165" s="56" t="s">
        <v>7</v>
      </c>
      <c r="B165" t="s">
        <v>131</v>
      </c>
      <c r="C165" t="s">
        <v>121</v>
      </c>
      <c r="D165" t="s">
        <v>122</v>
      </c>
    </row>
    <row r="166" spans="1:4" ht="12.75">
      <c r="A166" s="56">
        <v>1988</v>
      </c>
      <c r="B166">
        <v>2500</v>
      </c>
      <c r="C166">
        <f>B166/0.7541</f>
        <v>3315.2101843256864</v>
      </c>
      <c r="D166" s="4">
        <f>C166*1.1193</f>
        <v>3710.7147593157406</v>
      </c>
    </row>
    <row r="167" spans="1:4" ht="12.75">
      <c r="A167">
        <v>1989</v>
      </c>
      <c r="B167">
        <v>924.1</v>
      </c>
      <c r="C167">
        <f>B167/0.7541</f>
        <v>1225.4342925341466</v>
      </c>
      <c r="D167" s="4">
        <f>C167*1.1193</f>
        <v>1371.6286036334702</v>
      </c>
    </row>
    <row r="168" spans="1:4" ht="12.75">
      <c r="A168">
        <v>1990</v>
      </c>
      <c r="B168">
        <v>0</v>
      </c>
      <c r="C168">
        <f>B168/0.7541</f>
        <v>0</v>
      </c>
      <c r="D168" s="4">
        <f>C168*1.1193</f>
        <v>0</v>
      </c>
    </row>
    <row r="169" spans="1:4" ht="12.75" customHeight="1">
      <c r="A169" s="18">
        <v>1991</v>
      </c>
      <c r="B169">
        <v>479</v>
      </c>
      <c r="C169">
        <f>B169/0.7541</f>
        <v>635.1942713168015</v>
      </c>
      <c r="D169" s="4">
        <f>C169*1.1193</f>
        <v>710.9729478848959</v>
      </c>
    </row>
    <row r="170" ht="12.75">
      <c r="A170" t="s">
        <v>171</v>
      </c>
    </row>
    <row r="171" ht="12.75">
      <c r="A171" t="s">
        <v>170</v>
      </c>
    </row>
    <row r="173" spans="1:5" ht="12.75">
      <c r="A173" t="s">
        <v>173</v>
      </c>
      <c r="E173" t="s">
        <v>175</v>
      </c>
    </row>
    <row r="174" spans="1:5" ht="12.75">
      <c r="A174" t="s">
        <v>174</v>
      </c>
      <c r="E174" s="20">
        <f>C191-C188</f>
        <v>-32.900000000000006</v>
      </c>
    </row>
    <row r="175" spans="1:5" ht="12.75">
      <c r="A175" t="s">
        <v>176</v>
      </c>
      <c r="E175">
        <f>E174/4</f>
        <v>-8.225000000000001</v>
      </c>
    </row>
    <row r="176" spans="1:3" ht="12.75">
      <c r="A176" t="s">
        <v>7</v>
      </c>
      <c r="B176" t="s">
        <v>177</v>
      </c>
      <c r="C176" t="s">
        <v>178</v>
      </c>
    </row>
    <row r="177" spans="1:2" ht="12.75">
      <c r="A177">
        <v>1947</v>
      </c>
      <c r="B177">
        <v>211.3</v>
      </c>
    </row>
    <row r="178" spans="1:3" ht="12.75">
      <c r="A178">
        <v>1948</v>
      </c>
      <c r="C178" s="20">
        <f>B177+E175</f>
        <v>203.07500000000002</v>
      </c>
    </row>
    <row r="179" spans="1:3" ht="12.75">
      <c r="A179">
        <v>1949</v>
      </c>
      <c r="C179" s="20">
        <f>C178+E175</f>
        <v>194.85000000000002</v>
      </c>
    </row>
    <row r="180" spans="1:2" ht="12.75">
      <c r="A180">
        <v>1950</v>
      </c>
      <c r="B180">
        <v>178.5</v>
      </c>
    </row>
    <row r="181" ht="12.75">
      <c r="A181" t="s">
        <v>179</v>
      </c>
    </row>
    <row r="182" ht="12.75">
      <c r="A182" t="s">
        <v>180</v>
      </c>
    </row>
    <row r="184" ht="12.75">
      <c r="A184" s="46" t="s">
        <v>152</v>
      </c>
    </row>
    <row r="185" spans="1:4" ht="12.75">
      <c r="A185" t="s">
        <v>7</v>
      </c>
      <c r="B185" t="s">
        <v>184</v>
      </c>
      <c r="C185" t="s">
        <v>154</v>
      </c>
      <c r="D185" t="s">
        <v>185</v>
      </c>
    </row>
    <row r="186" spans="1:4" ht="12.75">
      <c r="A186">
        <v>1945</v>
      </c>
      <c r="B186" s="11">
        <f>E119</f>
        <v>450.2249395276574</v>
      </c>
      <c r="C186" t="s">
        <v>153</v>
      </c>
      <c r="D186" s="58" t="e">
        <f>B186/C186</f>
        <v>#VALUE!</v>
      </c>
    </row>
    <row r="187" spans="1:4" ht="12.75">
      <c r="A187">
        <v>1946</v>
      </c>
      <c r="B187" s="11">
        <f aca="true" t="shared" si="11" ref="B187:B228">E120</f>
        <v>448.86746358960943</v>
      </c>
      <c r="C187" s="20">
        <v>197</v>
      </c>
      <c r="D187" s="60">
        <f>B187/C187</f>
        <v>2.2785150436020785</v>
      </c>
    </row>
    <row r="188" spans="1:4" ht="12.75">
      <c r="A188">
        <v>1947</v>
      </c>
      <c r="B188" s="11">
        <f t="shared" si="11"/>
        <v>498.86733249170084</v>
      </c>
      <c r="C188">
        <v>211.4</v>
      </c>
      <c r="D188" s="60">
        <f aca="true" t="shared" si="12" ref="D188:D246">B188/C188</f>
        <v>2.3598265491565793</v>
      </c>
    </row>
    <row r="189" spans="1:4" ht="12.75">
      <c r="A189">
        <v>1948</v>
      </c>
      <c r="B189" s="11">
        <f t="shared" si="11"/>
        <v>567.192919425157</v>
      </c>
      <c r="C189" s="20">
        <f>C178</f>
        <v>203.07500000000002</v>
      </c>
      <c r="D189" s="60">
        <f t="shared" si="12"/>
        <v>2.7930218856341598</v>
      </c>
    </row>
    <row r="190" spans="1:4" ht="12.75">
      <c r="A190">
        <v>1949</v>
      </c>
      <c r="B190" s="11">
        <f t="shared" si="11"/>
        <v>628.2787497625145</v>
      </c>
      <c r="C190" s="20">
        <f>C179</f>
        <v>194.85000000000002</v>
      </c>
      <c r="D190" s="60">
        <f t="shared" si="12"/>
        <v>3.2244226315756452</v>
      </c>
    </row>
    <row r="191" spans="1:4" ht="12.75">
      <c r="A191">
        <v>1950</v>
      </c>
      <c r="B191" s="11">
        <f t="shared" si="11"/>
        <v>688.4595155897299</v>
      </c>
      <c r="C191" s="20">
        <v>178.5</v>
      </c>
      <c r="D191" s="60">
        <f t="shared" si="12"/>
        <v>3.856916053723977</v>
      </c>
    </row>
    <row r="192" spans="1:4" ht="12.75">
      <c r="A192">
        <v>1951</v>
      </c>
      <c r="B192" s="11">
        <f t="shared" si="11"/>
        <v>740.0431179268928</v>
      </c>
      <c r="C192" s="20">
        <v>181.6</v>
      </c>
      <c r="D192" s="60">
        <f t="shared" si="12"/>
        <v>4.075127301359542</v>
      </c>
    </row>
    <row r="193" spans="1:4" ht="12.75">
      <c r="A193">
        <v>1952</v>
      </c>
      <c r="B193" s="11">
        <f t="shared" si="11"/>
        <v>795.9252674870352</v>
      </c>
      <c r="C193" s="20">
        <v>184.8</v>
      </c>
      <c r="D193" s="60">
        <f t="shared" si="12"/>
        <v>4.306954910644129</v>
      </c>
    </row>
    <row r="194" spans="1:4" ht="12.75">
      <c r="A194">
        <v>1953</v>
      </c>
      <c r="B194" s="11">
        <f t="shared" si="11"/>
        <v>847.5088698241981</v>
      </c>
      <c r="C194" s="20">
        <v>188</v>
      </c>
      <c r="D194" s="60">
        <f t="shared" si="12"/>
        <v>4.508025903320203</v>
      </c>
    </row>
    <row r="195" spans="1:4" ht="12.75">
      <c r="A195">
        <v>1954</v>
      </c>
      <c r="B195" s="11">
        <f t="shared" si="11"/>
        <v>914.2507578446298</v>
      </c>
      <c r="C195" s="20">
        <v>191</v>
      </c>
      <c r="D195" s="60">
        <f t="shared" si="12"/>
        <v>4.786653182432617</v>
      </c>
    </row>
    <row r="196" spans="1:4" ht="12.75">
      <c r="A196">
        <v>1955</v>
      </c>
      <c r="B196" s="11">
        <f t="shared" si="11"/>
        <v>999.0921409214496</v>
      </c>
      <c r="C196" s="20">
        <v>194.4</v>
      </c>
      <c r="D196" s="60">
        <f t="shared" si="12"/>
        <v>5.139362864822272</v>
      </c>
    </row>
    <row r="197" spans="1:4" ht="12.75">
      <c r="A197">
        <v>1956</v>
      </c>
      <c r="B197" s="11">
        <f t="shared" si="11"/>
        <v>1093.6619749734405</v>
      </c>
      <c r="C197" s="20">
        <v>197.9</v>
      </c>
      <c r="D197" s="60">
        <f t="shared" si="12"/>
        <v>5.526336407142195</v>
      </c>
    </row>
    <row r="198" spans="1:4" ht="12.75">
      <c r="A198">
        <v>1957</v>
      </c>
      <c r="B198" s="11">
        <f t="shared" si="11"/>
        <v>1162.8925573729443</v>
      </c>
      <c r="C198" s="20">
        <v>201.4</v>
      </c>
      <c r="D198" s="60">
        <f t="shared" si="12"/>
        <v>5.77404447553597</v>
      </c>
    </row>
    <row r="199" spans="1:4" ht="12.75">
      <c r="A199">
        <v>1958</v>
      </c>
      <c r="B199" s="11">
        <f t="shared" si="11"/>
        <v>1264.476028612199</v>
      </c>
      <c r="C199" s="20">
        <v>204.9</v>
      </c>
      <c r="D199" s="60">
        <f t="shared" si="12"/>
        <v>6.1711860840029225</v>
      </c>
    </row>
    <row r="200" spans="1:4" ht="12.75">
      <c r="A200">
        <v>1959</v>
      </c>
      <c r="B200" s="11">
        <f t="shared" si="11"/>
        <v>1344.5662113838034</v>
      </c>
      <c r="C200" s="20">
        <v>208.8</v>
      </c>
      <c r="D200" s="60">
        <f t="shared" si="12"/>
        <v>6.439493349539288</v>
      </c>
    </row>
    <row r="201" spans="1:4" ht="12.75">
      <c r="A201">
        <v>1960</v>
      </c>
      <c r="B201" s="11">
        <f t="shared" si="11"/>
        <v>1423.0727988085252</v>
      </c>
      <c r="C201" s="20">
        <v>212.4</v>
      </c>
      <c r="D201" s="60">
        <f t="shared" si="12"/>
        <v>6.699966096085335</v>
      </c>
    </row>
    <row r="202" spans="1:4" ht="12.75">
      <c r="A202">
        <v>1961</v>
      </c>
      <c r="B202" s="11">
        <f t="shared" si="11"/>
        <v>3056.0244734793855</v>
      </c>
      <c r="C202" s="20">
        <v>216.3</v>
      </c>
      <c r="D202" s="60">
        <f t="shared" si="12"/>
        <v>14.128638342484445</v>
      </c>
    </row>
    <row r="203" spans="1:4" ht="12.75">
      <c r="A203">
        <v>1962</v>
      </c>
      <c r="B203" s="11">
        <f t="shared" si="11"/>
        <v>3170.5907126786688</v>
      </c>
      <c r="C203" s="20">
        <v>220</v>
      </c>
      <c r="D203" s="60">
        <f t="shared" si="12"/>
        <v>14.41177596672122</v>
      </c>
    </row>
    <row r="204" spans="1:4" ht="12.75">
      <c r="A204">
        <v>1963</v>
      </c>
      <c r="B204" s="11">
        <f t="shared" si="11"/>
        <v>3135.622764829202</v>
      </c>
      <c r="C204" s="20">
        <v>223.5</v>
      </c>
      <c r="D204" s="60">
        <f t="shared" si="12"/>
        <v>14.02963205740135</v>
      </c>
    </row>
    <row r="205" spans="1:4" ht="12.75">
      <c r="A205">
        <v>1964</v>
      </c>
      <c r="B205" s="11">
        <f t="shared" si="11"/>
        <v>3480.7023060796646</v>
      </c>
      <c r="C205" s="20">
        <v>226.7</v>
      </c>
      <c r="D205" s="60">
        <f t="shared" si="12"/>
        <v>15.353781676575496</v>
      </c>
    </row>
    <row r="206" spans="1:4" ht="12.75">
      <c r="A206">
        <v>1965</v>
      </c>
      <c r="B206" s="11">
        <f t="shared" si="11"/>
        <v>3697.412145654375</v>
      </c>
      <c r="C206" s="20">
        <v>229.6</v>
      </c>
      <c r="D206" s="60">
        <f t="shared" si="12"/>
        <v>16.103711435776894</v>
      </c>
    </row>
    <row r="207" spans="1:4" ht="12.75">
      <c r="A207">
        <v>1966</v>
      </c>
      <c r="B207" s="11">
        <f t="shared" si="11"/>
        <v>3885.595634480207</v>
      </c>
      <c r="C207" s="20">
        <v>232.2</v>
      </c>
      <c r="D207" s="60">
        <f t="shared" si="12"/>
        <v>16.7338313285108</v>
      </c>
    </row>
    <row r="208" spans="1:4" ht="12.75">
      <c r="A208">
        <v>1967</v>
      </c>
      <c r="B208" s="11">
        <f t="shared" si="11"/>
        <v>4065.0369959304476</v>
      </c>
      <c r="C208" s="20">
        <v>234.8</v>
      </c>
      <c r="D208" s="60">
        <f t="shared" si="12"/>
        <v>17.312764037182486</v>
      </c>
    </row>
    <row r="209" spans="1:4" ht="12.75">
      <c r="A209">
        <v>1968</v>
      </c>
      <c r="B209" s="11">
        <f t="shared" si="11"/>
        <v>4310.733741631357</v>
      </c>
      <c r="C209" s="20">
        <v>237.2</v>
      </c>
      <c r="D209" s="60">
        <f t="shared" si="12"/>
        <v>18.17341375055378</v>
      </c>
    </row>
    <row r="210" spans="1:4" ht="12.75">
      <c r="A210">
        <v>1969</v>
      </c>
      <c r="B210" s="11">
        <f t="shared" si="11"/>
        <v>4434.042108206232</v>
      </c>
      <c r="C210" s="20">
        <v>239.5</v>
      </c>
      <c r="D210" s="60">
        <f t="shared" si="12"/>
        <v>18.513745754514538</v>
      </c>
    </row>
    <row r="211" spans="1:4" ht="12.75">
      <c r="A211">
        <v>1970</v>
      </c>
      <c r="B211" s="11">
        <f t="shared" si="11"/>
        <v>4775.440857181979</v>
      </c>
      <c r="C211" s="20">
        <v>241.7</v>
      </c>
      <c r="D211" s="60">
        <f t="shared" si="12"/>
        <v>19.75771972354977</v>
      </c>
    </row>
    <row r="212" spans="1:4" ht="12.75">
      <c r="A212">
        <v>1971</v>
      </c>
      <c r="B212" s="11">
        <f t="shared" si="11"/>
        <v>4960.863260355489</v>
      </c>
      <c r="C212" s="20">
        <v>243.9</v>
      </c>
      <c r="D212" s="60">
        <f t="shared" si="12"/>
        <v>20.339742764885152</v>
      </c>
    </row>
    <row r="213" spans="1:4" ht="12.75">
      <c r="A213">
        <v>1972</v>
      </c>
      <c r="B213" s="11">
        <f t="shared" si="11"/>
        <v>5054.265014181773</v>
      </c>
      <c r="C213" s="20">
        <v>246.3</v>
      </c>
      <c r="D213" s="60">
        <f t="shared" si="12"/>
        <v>20.520767414461115</v>
      </c>
    </row>
    <row r="214" spans="1:4" ht="12.75">
      <c r="A214">
        <v>1973</v>
      </c>
      <c r="B214" s="11">
        <f t="shared" si="11"/>
        <v>5421.889864457846</v>
      </c>
      <c r="C214" s="20">
        <v>248.7</v>
      </c>
      <c r="D214" s="60">
        <f t="shared" si="12"/>
        <v>21.800924264004205</v>
      </c>
    </row>
    <row r="215" spans="1:4" ht="12.75">
      <c r="A215">
        <v>1974</v>
      </c>
      <c r="B215" s="11">
        <f t="shared" si="11"/>
        <v>5633.538649758129</v>
      </c>
      <c r="C215" s="20">
        <v>250.9</v>
      </c>
      <c r="D215" s="60">
        <f t="shared" si="12"/>
        <v>22.453322637537383</v>
      </c>
    </row>
    <row r="216" spans="1:4" ht="12.75">
      <c r="A216">
        <v>1975</v>
      </c>
      <c r="B216" s="11">
        <f t="shared" si="11"/>
        <v>5726.939841931515</v>
      </c>
      <c r="C216" s="20">
        <v>253.3</v>
      </c>
      <c r="D216" s="60">
        <f t="shared" si="12"/>
        <v>22.609316391360103</v>
      </c>
    </row>
    <row r="217" spans="1:4" ht="12.75">
      <c r="A217">
        <v>1976</v>
      </c>
      <c r="B217" s="11">
        <f t="shared" si="11"/>
        <v>5999.782957208041</v>
      </c>
      <c r="C217" s="20">
        <v>255.6</v>
      </c>
      <c r="D217" s="60">
        <f t="shared" si="12"/>
        <v>23.473329253552585</v>
      </c>
    </row>
    <row r="218" spans="1:4" ht="12.75">
      <c r="A218">
        <v>1977</v>
      </c>
      <c r="B218" s="11">
        <f t="shared" si="11"/>
        <v>6191.646957482138</v>
      </c>
      <c r="C218" s="20">
        <v>257.9</v>
      </c>
      <c r="D218" s="60">
        <f t="shared" si="12"/>
        <v>24.007937020093596</v>
      </c>
    </row>
    <row r="219" spans="1:4" ht="12.75">
      <c r="A219">
        <v>1978</v>
      </c>
      <c r="B219" s="11">
        <f t="shared" si="11"/>
        <v>6404.6762856085825</v>
      </c>
      <c r="C219" s="20">
        <v>260.1</v>
      </c>
      <c r="D219" s="60">
        <f t="shared" si="12"/>
        <v>24.62389959864891</v>
      </c>
    </row>
    <row r="220" spans="1:4" ht="12.75">
      <c r="A220">
        <v>1979</v>
      </c>
      <c r="B220" s="11">
        <f t="shared" si="11"/>
        <v>6455.747945383072</v>
      </c>
      <c r="C220" s="20">
        <v>262.4</v>
      </c>
      <c r="D220" s="60">
        <f t="shared" si="12"/>
        <v>24.60269796258793</v>
      </c>
    </row>
    <row r="221" spans="1:4" ht="12.75">
      <c r="A221">
        <v>1980</v>
      </c>
      <c r="B221" s="11">
        <f t="shared" si="11"/>
        <v>6545.4686261081915</v>
      </c>
      <c r="C221" s="20">
        <v>264.5</v>
      </c>
      <c r="D221" s="60">
        <f t="shared" si="12"/>
        <v>24.74657325560753</v>
      </c>
    </row>
    <row r="222" spans="1:4" ht="12.75">
      <c r="A222">
        <v>1981</v>
      </c>
      <c r="B222" s="11">
        <f t="shared" si="11"/>
        <v>3490.3911680037577</v>
      </c>
      <c r="C222" s="20">
        <v>266.6</v>
      </c>
      <c r="D222" s="60">
        <f t="shared" si="12"/>
        <v>13.09223993999909</v>
      </c>
    </row>
    <row r="223" spans="1:4" ht="12.75">
      <c r="A223">
        <v>1982</v>
      </c>
      <c r="B223" s="11">
        <f t="shared" si="11"/>
        <v>3583.1508521027185</v>
      </c>
      <c r="C223" s="20">
        <v>268.8</v>
      </c>
      <c r="D223" s="60">
        <f t="shared" si="12"/>
        <v>13.330174300977374</v>
      </c>
    </row>
    <row r="224" spans="1:4" ht="12.75">
      <c r="A224">
        <v>1983</v>
      </c>
      <c r="B224" s="11">
        <f t="shared" si="11"/>
        <v>3699.9504396321468</v>
      </c>
      <c r="C224" s="20">
        <v>271.2</v>
      </c>
      <c r="D224" s="60">
        <f t="shared" si="12"/>
        <v>13.642885101888448</v>
      </c>
    </row>
    <row r="225" spans="1:4" ht="12.75">
      <c r="A225">
        <v>1984</v>
      </c>
      <c r="B225" s="11">
        <f t="shared" si="11"/>
        <v>3752.4012458147376</v>
      </c>
      <c r="C225" s="20">
        <v>273.8</v>
      </c>
      <c r="D225" s="60">
        <f t="shared" si="12"/>
        <v>13.704898633362811</v>
      </c>
    </row>
    <row r="226" spans="1:4" ht="12.75">
      <c r="A226">
        <v>1985</v>
      </c>
      <c r="B226" s="11">
        <f t="shared" si="11"/>
        <v>3779.3549511800948</v>
      </c>
      <c r="C226" s="20">
        <v>276.3</v>
      </c>
      <c r="D226" s="60">
        <f t="shared" si="12"/>
        <v>13.678447163156333</v>
      </c>
    </row>
    <row r="227" spans="1:4" ht="12.75">
      <c r="A227">
        <v>1986</v>
      </c>
      <c r="B227" s="11">
        <f t="shared" si="11"/>
        <v>3926.9934121278407</v>
      </c>
      <c r="C227" s="20">
        <v>278.8</v>
      </c>
      <c r="D227" s="60">
        <f t="shared" si="12"/>
        <v>14.085342224274894</v>
      </c>
    </row>
    <row r="228" spans="1:4" ht="12.75">
      <c r="A228">
        <v>1987</v>
      </c>
      <c r="B228" s="11">
        <f t="shared" si="11"/>
        <v>3947.390914930035</v>
      </c>
      <c r="C228" s="20">
        <v>281.7</v>
      </c>
      <c r="D228" s="60">
        <f t="shared" si="12"/>
        <v>14.01274730184606</v>
      </c>
    </row>
    <row r="229" spans="1:4" ht="12.75">
      <c r="A229">
        <v>1988</v>
      </c>
      <c r="B229" s="11">
        <f>D166</f>
        <v>3710.7147593157406</v>
      </c>
      <c r="C229" s="20">
        <v>284.5</v>
      </c>
      <c r="D229" s="60">
        <f t="shared" si="12"/>
        <v>13.042934127647595</v>
      </c>
    </row>
    <row r="230" spans="1:4" ht="12.75">
      <c r="A230">
        <v>1989</v>
      </c>
      <c r="B230" s="11">
        <f>D167</f>
        <v>1371.6286036334702</v>
      </c>
      <c r="C230" s="20">
        <v>287</v>
      </c>
      <c r="D230" s="60">
        <f t="shared" si="12"/>
        <v>4.779193740883171</v>
      </c>
    </row>
    <row r="231" spans="1:4" ht="12.75">
      <c r="A231">
        <v>1990</v>
      </c>
      <c r="B231" t="s">
        <v>153</v>
      </c>
      <c r="C231" s="20">
        <v>290.9</v>
      </c>
      <c r="D231" s="58" t="e">
        <f t="shared" si="12"/>
        <v>#VALUE!</v>
      </c>
    </row>
    <row r="232" spans="1:4" ht="12.75">
      <c r="A232">
        <v>1991</v>
      </c>
      <c r="B232">
        <v>710.97</v>
      </c>
      <c r="C232" s="20">
        <v>148.5</v>
      </c>
      <c r="D232" s="60">
        <f t="shared" si="12"/>
        <v>4.787676767676768</v>
      </c>
    </row>
    <row r="233" spans="1:4" ht="12.75">
      <c r="A233">
        <v>1992</v>
      </c>
      <c r="B233" s="11">
        <v>59.31</v>
      </c>
      <c r="C233" s="20">
        <v>148.8</v>
      </c>
      <c r="D233" s="60">
        <f t="shared" si="12"/>
        <v>0.39858870967741933</v>
      </c>
    </row>
    <row r="234" spans="1:4" ht="12.75">
      <c r="A234">
        <v>1993</v>
      </c>
      <c r="B234" s="11">
        <v>174.19</v>
      </c>
      <c r="C234" s="20">
        <v>148.7</v>
      </c>
      <c r="D234" s="60">
        <f t="shared" si="12"/>
        <v>1.1714189643577675</v>
      </c>
    </row>
    <row r="235" spans="1:4" ht="12.75">
      <c r="A235">
        <v>1994</v>
      </c>
      <c r="B235" s="11">
        <v>213.3</v>
      </c>
      <c r="C235" s="20">
        <v>148.4</v>
      </c>
      <c r="D235" s="60">
        <f t="shared" si="12"/>
        <v>1.4373315363881403</v>
      </c>
    </row>
    <row r="236" spans="1:4" ht="12.75">
      <c r="A236">
        <v>1995</v>
      </c>
      <c r="B236" s="11">
        <v>373.83</v>
      </c>
      <c r="C236" s="20">
        <v>148.1</v>
      </c>
      <c r="D236" s="60">
        <f t="shared" si="12"/>
        <v>2.5241728561782577</v>
      </c>
    </row>
    <row r="237" spans="1:4" ht="12.75">
      <c r="A237">
        <v>1996</v>
      </c>
      <c r="B237" s="11">
        <v>430.23</v>
      </c>
      <c r="C237" s="20">
        <v>147.9</v>
      </c>
      <c r="D237" s="60">
        <f t="shared" si="12"/>
        <v>2.908924949290061</v>
      </c>
    </row>
    <row r="238" spans="1:4" ht="12.75">
      <c r="A238">
        <v>1997</v>
      </c>
      <c r="B238" s="11">
        <v>460.22</v>
      </c>
      <c r="C238" s="20">
        <v>147.7</v>
      </c>
      <c r="D238" s="60">
        <f t="shared" si="12"/>
        <v>3.115910629654706</v>
      </c>
    </row>
    <row r="239" spans="1:4" ht="12.75">
      <c r="A239">
        <v>1998</v>
      </c>
      <c r="B239" s="11">
        <v>147.32</v>
      </c>
      <c r="C239" s="20">
        <v>147.4</v>
      </c>
      <c r="D239" s="60">
        <f t="shared" si="12"/>
        <v>0.9994572591587516</v>
      </c>
    </row>
    <row r="240" spans="1:4" ht="12.75">
      <c r="A240">
        <v>1999</v>
      </c>
      <c r="B240" s="11">
        <v>203.99</v>
      </c>
      <c r="C240" s="20">
        <v>147</v>
      </c>
      <c r="D240" s="60">
        <f t="shared" si="12"/>
        <v>1.3876870748299321</v>
      </c>
    </row>
    <row r="241" spans="1:4" ht="12.75">
      <c r="A241">
        <v>2000</v>
      </c>
      <c r="B241" s="11">
        <v>290.38</v>
      </c>
      <c r="C241" s="20">
        <v>146.6</v>
      </c>
      <c r="D241" s="60">
        <f t="shared" si="12"/>
        <v>1.9807639836289224</v>
      </c>
    </row>
    <row r="242" spans="1:4" ht="12.75">
      <c r="A242">
        <v>2001</v>
      </c>
      <c r="B242" s="11">
        <v>324.48</v>
      </c>
      <c r="C242" s="20">
        <v>146</v>
      </c>
      <c r="D242" s="60">
        <f t="shared" si="12"/>
        <v>2.2224657534246575</v>
      </c>
    </row>
    <row r="243" spans="1:4" ht="12.75">
      <c r="A243">
        <v>2002</v>
      </c>
      <c r="B243" s="11">
        <v>365.61</v>
      </c>
      <c r="C243" s="20">
        <v>145.3</v>
      </c>
      <c r="D243" s="60">
        <f t="shared" si="12"/>
        <v>2.5162422573984857</v>
      </c>
    </row>
    <row r="244" spans="1:4" ht="12.75">
      <c r="A244">
        <v>2003</v>
      </c>
      <c r="B244" s="11">
        <v>473.07</v>
      </c>
      <c r="C244" s="20">
        <v>144.6</v>
      </c>
      <c r="D244" s="60">
        <f t="shared" si="12"/>
        <v>3.271576763485477</v>
      </c>
    </row>
    <row r="245" spans="1:4" ht="12.75">
      <c r="A245">
        <v>2004</v>
      </c>
      <c r="B245" s="11">
        <v>628.27</v>
      </c>
      <c r="C245" s="20">
        <v>143.9</v>
      </c>
      <c r="D245" s="60">
        <f t="shared" si="12"/>
        <v>4.366018068102849</v>
      </c>
    </row>
    <row r="246" spans="1:4" ht="12.75">
      <c r="A246">
        <v>2005</v>
      </c>
      <c r="B246" s="11">
        <v>750.39</v>
      </c>
      <c r="C246" s="20">
        <v>143.2</v>
      </c>
      <c r="D246" s="60">
        <f t="shared" si="12"/>
        <v>5.240153631284916</v>
      </c>
    </row>
    <row r="247" ht="12.75">
      <c r="A247" t="s">
        <v>172</v>
      </c>
    </row>
    <row r="248" ht="12.75">
      <c r="A248" t="s">
        <v>181</v>
      </c>
    </row>
  </sheetData>
  <mergeCells count="5">
    <mergeCell ref="A31:H31"/>
    <mergeCell ref="I46:N46"/>
    <mergeCell ref="F100:H100"/>
    <mergeCell ref="A163:H163"/>
    <mergeCell ref="A32:F32"/>
  </mergeCells>
  <hyperlinks>
    <hyperlink ref="C117" r:id="rId1" display="http://web.worldbank.org/servlets/ECR?entityID=000009265_3961006063138&amp;collection=IMAGEBANK&amp;sitePK=469233"/>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P96"/>
  <sheetViews>
    <sheetView workbookViewId="0" topLeftCell="A1">
      <selection activeCell="A1" sqref="A1"/>
    </sheetView>
  </sheetViews>
  <sheetFormatPr defaultColWidth="9.140625" defaultRowHeight="12.75"/>
  <cols>
    <col min="2" max="2" width="17.7109375" style="0" customWidth="1"/>
    <col min="3" max="4" width="13.28125" style="0" customWidth="1"/>
    <col min="5" max="5" width="15.8515625" style="0" customWidth="1"/>
    <col min="6" max="6" width="14.00390625" style="0" customWidth="1"/>
    <col min="7" max="7" width="16.28125" style="0" customWidth="1"/>
    <col min="8" max="8" width="0.85546875" style="0" hidden="1" customWidth="1"/>
    <col min="9" max="10" width="10.7109375" style="0" customWidth="1"/>
    <col min="15" max="15" width="13.8515625" style="0" customWidth="1"/>
    <col min="16" max="16" width="9.57421875" style="0" bestFit="1" customWidth="1"/>
  </cols>
  <sheetData>
    <row r="1" spans="9:10" ht="12.75">
      <c r="I1" s="68"/>
      <c r="J1" s="68"/>
    </row>
    <row r="2" spans="1:16" ht="101.25" customHeight="1">
      <c r="A2" t="s">
        <v>7</v>
      </c>
      <c r="B2" s="3" t="s">
        <v>188</v>
      </c>
      <c r="C2" s="69" t="s">
        <v>192</v>
      </c>
      <c r="D2" s="69"/>
      <c r="E2" s="3" t="s">
        <v>187</v>
      </c>
      <c r="F2" s="69" t="s">
        <v>193</v>
      </c>
      <c r="G2" s="67" t="s">
        <v>189</v>
      </c>
      <c r="H2" s="67" t="s">
        <v>190</v>
      </c>
      <c r="I2" s="71" t="s">
        <v>194</v>
      </c>
      <c r="J2" s="74" t="s">
        <v>195</v>
      </c>
      <c r="K2" s="74" t="s">
        <v>196</v>
      </c>
      <c r="L2" s="74"/>
      <c r="M2" s="67" t="s">
        <v>191</v>
      </c>
      <c r="N2" s="67" t="s">
        <v>197</v>
      </c>
      <c r="O2" s="67" t="s">
        <v>198</v>
      </c>
      <c r="P2" s="67" t="s">
        <v>199</v>
      </c>
    </row>
    <row r="3" spans="1:16" ht="12.75">
      <c r="A3">
        <v>1951</v>
      </c>
      <c r="B3" s="20">
        <v>1385.8</v>
      </c>
      <c r="C3" s="70">
        <f aca="true" t="shared" si="0" ref="C3:C17">(B3/M3)*1.1193</f>
        <v>9002.472083575158</v>
      </c>
      <c r="D3" s="70"/>
      <c r="E3">
        <v>245.1</v>
      </c>
      <c r="F3" s="70">
        <f aca="true" t="shared" si="1" ref="F3:F17">(E3/M3)*1.1193</f>
        <v>1592.225362739408</v>
      </c>
      <c r="G3" s="20">
        <f aca="true" t="shared" si="2" ref="G3:G17">SUM(E3,B3)</f>
        <v>1630.8999999999999</v>
      </c>
      <c r="H3" s="11">
        <f aca="true" t="shared" si="3" ref="H3:H17">G3/M3</f>
        <v>9465.467208357515</v>
      </c>
      <c r="I3" s="72">
        <f aca="true" t="shared" si="4" ref="I3:I17">H3*1.1193</f>
        <v>10594.697446314567</v>
      </c>
      <c r="J3" s="76">
        <f aca="true" t="shared" si="5" ref="J3:J17">I3/O3</f>
        <v>0.0050870243293824075</v>
      </c>
      <c r="K3" s="12">
        <f aca="true" t="shared" si="6" ref="K3:K17">P3*J3</f>
        <v>68.74070138717678</v>
      </c>
      <c r="M3" s="6">
        <v>0.1723</v>
      </c>
      <c r="N3" s="20">
        <f>(Sheet1!D11)</f>
        <v>2082.690539756239</v>
      </c>
      <c r="O3" s="5">
        <f aca="true" t="shared" si="7" ref="O3:O17">N3*1000</f>
        <v>2082690.5397562392</v>
      </c>
      <c r="P3" s="20">
        <f>Sheet1!E11</f>
        <v>13512.949208859452</v>
      </c>
    </row>
    <row r="4" spans="1:16" ht="12.75">
      <c r="A4">
        <v>1952</v>
      </c>
      <c r="B4" s="20">
        <v>502.1</v>
      </c>
      <c r="C4" s="70">
        <f t="shared" si="0"/>
        <v>3136.163671875</v>
      </c>
      <c r="D4" s="70"/>
      <c r="E4">
        <v>314.2</v>
      </c>
      <c r="F4" s="70">
        <f t="shared" si="1"/>
        <v>1962.52265625</v>
      </c>
      <c r="G4" s="20">
        <f t="shared" si="2"/>
        <v>816.3</v>
      </c>
      <c r="H4" s="11">
        <f t="shared" si="3"/>
        <v>4555.245535714285</v>
      </c>
      <c r="I4" s="72">
        <f t="shared" si="4"/>
        <v>5098.686328125</v>
      </c>
      <c r="J4" s="76">
        <f t="shared" si="5"/>
        <v>0.0023416523235800344</v>
      </c>
      <c r="K4" s="12">
        <f t="shared" si="6"/>
        <v>32.49117365329564</v>
      </c>
      <c r="M4" s="6">
        <v>0.1792</v>
      </c>
      <c r="N4" s="20">
        <f>(Sheet1!D12)</f>
        <v>2177.38828125</v>
      </c>
      <c r="O4" s="5">
        <f t="shared" si="7"/>
        <v>2177388.28125</v>
      </c>
      <c r="P4" s="20">
        <f>Sheet1!E12</f>
        <v>13875.319288911995</v>
      </c>
    </row>
    <row r="5" spans="1:16" ht="12.75">
      <c r="A5">
        <v>1953</v>
      </c>
      <c r="B5" s="20">
        <v>2872.6</v>
      </c>
      <c r="C5" s="70">
        <f t="shared" si="0"/>
        <v>17618.088657534245</v>
      </c>
      <c r="D5" s="70"/>
      <c r="E5">
        <v>270.7</v>
      </c>
      <c r="F5" s="70">
        <f t="shared" si="1"/>
        <v>1660.2438904109588</v>
      </c>
      <c r="G5" s="20">
        <f t="shared" si="2"/>
        <v>3143.2999999999997</v>
      </c>
      <c r="H5" s="11">
        <f t="shared" si="3"/>
        <v>17223.561643835616</v>
      </c>
      <c r="I5" s="72">
        <f>H5*1.1193</f>
        <v>19278.332547945203</v>
      </c>
      <c r="J5" s="76">
        <f t="shared" si="5"/>
        <v>0.00842933762402789</v>
      </c>
      <c r="K5" s="12">
        <f t="shared" si="6"/>
        <v>120.69701737098761</v>
      </c>
      <c r="M5" s="6">
        <v>0.1825</v>
      </c>
      <c r="N5" s="20">
        <f>(Sheet1!D13)</f>
        <v>2287.0518904109585</v>
      </c>
      <c r="O5" s="5">
        <f t="shared" si="7"/>
        <v>2287051.8904109583</v>
      </c>
      <c r="P5" s="20">
        <f>Sheet1!E13</f>
        <v>14318.683478395722</v>
      </c>
    </row>
    <row r="6" spans="1:16" ht="12.75">
      <c r="A6">
        <v>1954</v>
      </c>
      <c r="B6" s="20">
        <v>828</v>
      </c>
      <c r="C6" s="70">
        <f t="shared" si="0"/>
        <v>5020.478873239437</v>
      </c>
      <c r="D6" s="70"/>
      <c r="E6">
        <v>259.1</v>
      </c>
      <c r="F6" s="70">
        <f t="shared" si="1"/>
        <v>1571.0218309859158</v>
      </c>
      <c r="G6" s="20">
        <f t="shared" si="2"/>
        <v>1087.1</v>
      </c>
      <c r="H6" s="11">
        <f t="shared" si="3"/>
        <v>5888.949079089924</v>
      </c>
      <c r="I6" s="72">
        <f t="shared" si="4"/>
        <v>6591.500704225352</v>
      </c>
      <c r="J6" s="76">
        <f t="shared" si="5"/>
        <v>0.00288126159554731</v>
      </c>
      <c r="K6" s="12">
        <f t="shared" si="6"/>
        <v>40.55690412829647</v>
      </c>
      <c r="M6" s="6">
        <v>0.1846</v>
      </c>
      <c r="N6" s="20">
        <f>(Sheet1!D14)</f>
        <v>2287.71338028169</v>
      </c>
      <c r="O6" s="5">
        <f t="shared" si="7"/>
        <v>2287713.38028169</v>
      </c>
      <c r="P6" s="20">
        <f>Sheet1!E14</f>
        <v>14076.092289215583</v>
      </c>
    </row>
    <row r="7" spans="1:16" ht="12.75">
      <c r="A7">
        <v>1955</v>
      </c>
      <c r="B7" s="20">
        <v>795.9</v>
      </c>
      <c r="C7" s="70">
        <f t="shared" si="0"/>
        <v>4784.376315789474</v>
      </c>
      <c r="D7" s="70"/>
      <c r="E7" s="31">
        <v>268.3</v>
      </c>
      <c r="F7" s="70">
        <f t="shared" si="1"/>
        <v>1612.825939849624</v>
      </c>
      <c r="G7" s="20">
        <f t="shared" si="2"/>
        <v>1064.2</v>
      </c>
      <c r="H7" s="11">
        <f t="shared" si="3"/>
        <v>5715.3598281417835</v>
      </c>
      <c r="I7" s="72">
        <f t="shared" si="4"/>
        <v>6397.202255639098</v>
      </c>
      <c r="J7" s="76">
        <f t="shared" si="5"/>
        <v>0.002696908261530664</v>
      </c>
      <c r="K7" s="12">
        <f t="shared" si="6"/>
        <v>38.694825751639996</v>
      </c>
      <c r="M7" s="6">
        <v>0.1862</v>
      </c>
      <c r="N7" s="20">
        <f>(Sheet1!D15)</f>
        <v>2372.05037593985</v>
      </c>
      <c r="O7" s="5">
        <f t="shared" si="7"/>
        <v>2372050.3759398498</v>
      </c>
      <c r="P7" s="20">
        <f>Sheet1!E15</f>
        <v>14347.846496520526</v>
      </c>
    </row>
    <row r="8" spans="1:16" ht="12.75">
      <c r="A8">
        <v>1956</v>
      </c>
      <c r="B8" s="20">
        <v>880.2</v>
      </c>
      <c r="C8" s="70">
        <f t="shared" si="0"/>
        <v>5155.457142857143</v>
      </c>
      <c r="D8" s="70"/>
      <c r="E8" s="31">
        <v>300.3</v>
      </c>
      <c r="F8" s="70">
        <f t="shared" si="1"/>
        <v>1758.9</v>
      </c>
      <c r="G8" s="20">
        <f t="shared" si="2"/>
        <v>1180.5</v>
      </c>
      <c r="H8" s="11">
        <f t="shared" si="3"/>
        <v>6177.394034536892</v>
      </c>
      <c r="I8" s="72">
        <f t="shared" si="4"/>
        <v>6914.357142857143</v>
      </c>
      <c r="J8" s="76">
        <f t="shared" si="5"/>
        <v>0.002763342696629214</v>
      </c>
      <c r="K8" s="12">
        <f t="shared" si="6"/>
        <v>41.126477173237035</v>
      </c>
      <c r="M8" s="6">
        <v>0.1911</v>
      </c>
      <c r="N8" s="20">
        <f>(Sheet1!D16)</f>
        <v>2502.1714285714284</v>
      </c>
      <c r="O8" s="5">
        <f t="shared" si="7"/>
        <v>2502171.428571428</v>
      </c>
      <c r="P8" s="20">
        <f>Sheet1!E16</f>
        <v>14882.87255265299</v>
      </c>
    </row>
    <row r="9" spans="1:16" ht="12.75">
      <c r="A9">
        <v>1957</v>
      </c>
      <c r="B9" s="20">
        <v>1045.4</v>
      </c>
      <c r="C9" s="70">
        <f t="shared" si="0"/>
        <v>5900.737367624811</v>
      </c>
      <c r="D9" s="70"/>
      <c r="E9" s="31">
        <v>385.6</v>
      </c>
      <c r="F9" s="70">
        <f t="shared" si="1"/>
        <v>2176.5107413010587</v>
      </c>
      <c r="G9" s="20">
        <f t="shared" si="2"/>
        <v>1431</v>
      </c>
      <c r="H9" s="11">
        <f t="shared" si="3"/>
        <v>7216.338880484115</v>
      </c>
      <c r="I9" s="72">
        <f t="shared" si="4"/>
        <v>8077.24810892587</v>
      </c>
      <c r="J9" s="76">
        <f t="shared" si="5"/>
        <v>0.0031778814123917384</v>
      </c>
      <c r="K9" s="12">
        <f t="shared" si="6"/>
        <v>47.256381843132715</v>
      </c>
      <c r="M9" s="6">
        <v>0.1983</v>
      </c>
      <c r="N9" s="20">
        <f>(Sheet1!D17)</f>
        <v>2541.708472012103</v>
      </c>
      <c r="O9" s="5">
        <f t="shared" si="7"/>
        <v>2541708.472012103</v>
      </c>
      <c r="P9" s="20">
        <f>Sheet1!E17</f>
        <v>14870.404433237361</v>
      </c>
    </row>
    <row r="10" spans="1:16" ht="12.75">
      <c r="A10">
        <v>1958</v>
      </c>
      <c r="B10" s="20">
        <v>1182</v>
      </c>
      <c r="C10" s="70">
        <f t="shared" si="0"/>
        <v>6475.832599118942</v>
      </c>
      <c r="D10" s="70"/>
      <c r="E10" s="31">
        <v>481.7</v>
      </c>
      <c r="F10" s="70">
        <f t="shared" si="1"/>
        <v>2639.0935389133624</v>
      </c>
      <c r="G10" s="20">
        <f t="shared" si="2"/>
        <v>1663.7</v>
      </c>
      <c r="H10" s="11">
        <f t="shared" si="3"/>
        <v>8143.416544297602</v>
      </c>
      <c r="I10" s="72">
        <f t="shared" si="4"/>
        <v>9114.926138032306</v>
      </c>
      <c r="J10" s="76">
        <f t="shared" si="5"/>
        <v>0.003612812160694897</v>
      </c>
      <c r="K10" s="12">
        <f t="shared" si="6"/>
        <v>52.4679478568348</v>
      </c>
      <c r="M10" s="6">
        <v>0.2043</v>
      </c>
      <c r="N10" s="20">
        <f>(Sheet1!D18)</f>
        <v>2522.944933920705</v>
      </c>
      <c r="O10" s="5">
        <f t="shared" si="7"/>
        <v>2522944.9339207048</v>
      </c>
      <c r="P10" s="20">
        <f>Sheet1!E18</f>
        <v>14522.74447801432</v>
      </c>
    </row>
    <row r="11" spans="1:16" ht="12.75">
      <c r="A11">
        <v>1959</v>
      </c>
      <c r="B11" s="20">
        <v>1323.1</v>
      </c>
      <c r="C11" s="70">
        <f t="shared" si="0"/>
        <v>7137.088337349398</v>
      </c>
      <c r="D11" s="70"/>
      <c r="E11" s="31">
        <v>521.7</v>
      </c>
      <c r="F11" s="70">
        <f t="shared" si="1"/>
        <v>2814.162939759037</v>
      </c>
      <c r="G11" s="20">
        <f t="shared" si="2"/>
        <v>1844.8</v>
      </c>
      <c r="H11" s="11">
        <f t="shared" si="3"/>
        <v>8890.602409638554</v>
      </c>
      <c r="I11" s="72">
        <f t="shared" si="4"/>
        <v>9951.251277108433</v>
      </c>
      <c r="J11" s="76">
        <f t="shared" si="5"/>
        <v>0.0037534079348931835</v>
      </c>
      <c r="K11" s="12">
        <f t="shared" si="6"/>
        <v>56.37354040408704</v>
      </c>
      <c r="M11" s="6">
        <v>0.2075</v>
      </c>
      <c r="N11" s="20">
        <f>(Sheet1!D19)</f>
        <v>2651.257590361446</v>
      </c>
      <c r="O11" s="5">
        <f t="shared" si="7"/>
        <v>2651257.590361446</v>
      </c>
      <c r="P11" s="20">
        <f>Sheet1!E19</f>
        <v>15019.294833374232</v>
      </c>
    </row>
    <row r="12" spans="1:16" ht="12.75">
      <c r="A12">
        <v>1960</v>
      </c>
      <c r="B12" s="20">
        <v>1370.5</v>
      </c>
      <c r="C12" s="70">
        <f>(B12/M12)*1.1193</f>
        <v>7304.764999999999</v>
      </c>
      <c r="D12" s="70"/>
      <c r="E12" s="31">
        <v>527.9</v>
      </c>
      <c r="F12" s="70">
        <f t="shared" si="1"/>
        <v>2813.707</v>
      </c>
      <c r="G12" s="20">
        <f t="shared" si="2"/>
        <v>1898.4</v>
      </c>
      <c r="H12" s="11">
        <f t="shared" si="3"/>
        <v>9040</v>
      </c>
      <c r="I12" s="72">
        <f t="shared" si="4"/>
        <v>10118.472</v>
      </c>
      <c r="J12" s="76">
        <f t="shared" si="5"/>
        <v>0.0036655725043444687</v>
      </c>
      <c r="K12" s="12">
        <f t="shared" si="6"/>
        <v>56.42590256390452</v>
      </c>
      <c r="M12" s="6">
        <v>0.21</v>
      </c>
      <c r="N12" s="20">
        <f>(Sheet1!D20)</f>
        <v>2760.4069999999997</v>
      </c>
      <c r="O12" s="5">
        <f t="shared" si="7"/>
        <v>2760406.9999999995</v>
      </c>
      <c r="P12" s="20">
        <f>Sheet1!E20</f>
        <v>15393.47605238419</v>
      </c>
    </row>
    <row r="13" spans="1:16" ht="12.75">
      <c r="A13">
        <v>1961</v>
      </c>
      <c r="B13" s="20">
        <v>1271.2</v>
      </c>
      <c r="C13" s="70">
        <f t="shared" si="0"/>
        <v>6680.066478873239</v>
      </c>
      <c r="D13" s="70"/>
      <c r="E13" s="31">
        <v>543.1</v>
      </c>
      <c r="F13" s="70">
        <f t="shared" si="1"/>
        <v>2853.9522535211267</v>
      </c>
      <c r="G13" s="20">
        <f t="shared" si="2"/>
        <v>1814.3000000000002</v>
      </c>
      <c r="H13" s="11">
        <f t="shared" si="3"/>
        <v>8517.840375586855</v>
      </c>
      <c r="I13" s="72">
        <f t="shared" si="4"/>
        <v>9534.018732394366</v>
      </c>
      <c r="J13" s="76">
        <f t="shared" si="5"/>
        <v>0.003418048229088169</v>
      </c>
      <c r="K13" s="12">
        <f t="shared" si="6"/>
        <v>52.46512803705437</v>
      </c>
      <c r="M13" s="6">
        <v>0.213</v>
      </c>
      <c r="N13" s="20">
        <f>(Sheet1!D21)</f>
        <v>2789.31661971831</v>
      </c>
      <c r="O13" s="5">
        <f t="shared" si="7"/>
        <v>2789316.61971831</v>
      </c>
      <c r="P13" s="20">
        <f>Sheet1!E21</f>
        <v>15349.440534679192</v>
      </c>
    </row>
    <row r="14" spans="1:16" ht="12.75">
      <c r="A14">
        <v>1962</v>
      </c>
      <c r="B14" s="20">
        <v>1081.7</v>
      </c>
      <c r="C14" s="70">
        <f t="shared" si="0"/>
        <v>5620.922980501393</v>
      </c>
      <c r="D14" s="70"/>
      <c r="E14" s="31">
        <v>750.9</v>
      </c>
      <c r="F14" s="70">
        <f t="shared" si="1"/>
        <v>3901.960863509749</v>
      </c>
      <c r="G14" s="20">
        <f t="shared" si="2"/>
        <v>1832.6</v>
      </c>
      <c r="H14" s="11">
        <f t="shared" si="3"/>
        <v>8507.892293407613</v>
      </c>
      <c r="I14" s="72">
        <f t="shared" si="4"/>
        <v>9522.883844011141</v>
      </c>
      <c r="J14" s="76">
        <f t="shared" si="5"/>
        <v>0.003228682170542635</v>
      </c>
      <c r="K14" s="12">
        <f t="shared" si="6"/>
        <v>51.72136816539115</v>
      </c>
      <c r="M14" s="6">
        <v>0.2154</v>
      </c>
      <c r="N14" s="20">
        <f>(Sheet1!D22)</f>
        <v>2949.4646239554318</v>
      </c>
      <c r="O14" s="5">
        <f t="shared" si="7"/>
        <v>2949464.623955432</v>
      </c>
      <c r="P14" s="20">
        <f>Sheet1!E22</f>
        <v>16019.343321333636</v>
      </c>
    </row>
    <row r="15" spans="1:16" ht="12.75">
      <c r="A15">
        <v>1963</v>
      </c>
      <c r="B15" s="20">
        <v>1067.2</v>
      </c>
      <c r="C15" s="70">
        <f t="shared" si="0"/>
        <v>5476.923246217331</v>
      </c>
      <c r="D15" s="70"/>
      <c r="E15" s="31">
        <v>770.7</v>
      </c>
      <c r="F15" s="70">
        <f t="shared" si="1"/>
        <v>3955.270563961486</v>
      </c>
      <c r="G15" s="20">
        <f t="shared" si="2"/>
        <v>1837.9</v>
      </c>
      <c r="H15" s="11">
        <f t="shared" si="3"/>
        <v>8426.868408986704</v>
      </c>
      <c r="I15" s="72">
        <f t="shared" si="4"/>
        <v>9432.193810178816</v>
      </c>
      <c r="J15" s="76">
        <f t="shared" si="5"/>
        <v>0.003069817938867546</v>
      </c>
      <c r="K15" s="12">
        <f t="shared" si="6"/>
        <v>50.57020140471084</v>
      </c>
      <c r="M15" s="6">
        <v>0.2181</v>
      </c>
      <c r="N15" s="20">
        <f>(Sheet1!D23)</f>
        <v>3072.558046767538</v>
      </c>
      <c r="O15" s="5">
        <f t="shared" si="7"/>
        <v>3072558.046767538</v>
      </c>
      <c r="P15" s="20">
        <f>Sheet1!E23</f>
        <v>16473.355232058537</v>
      </c>
    </row>
    <row r="16" spans="1:16" ht="12.75">
      <c r="A16">
        <v>1964</v>
      </c>
      <c r="B16" s="20">
        <v>826.6</v>
      </c>
      <c r="C16" s="70">
        <f t="shared" si="0"/>
        <v>4192.1766198459445</v>
      </c>
      <c r="D16" s="70"/>
      <c r="E16" s="31">
        <v>864.5</v>
      </c>
      <c r="F16" s="70">
        <f t="shared" si="1"/>
        <v>4384.389895786135</v>
      </c>
      <c r="G16" s="20">
        <f t="shared" si="2"/>
        <v>1691.1</v>
      </c>
      <c r="H16" s="11">
        <f t="shared" si="3"/>
        <v>7662.437698232895</v>
      </c>
      <c r="I16" s="72">
        <f t="shared" si="4"/>
        <v>8576.56651563208</v>
      </c>
      <c r="J16" s="76">
        <f t="shared" si="5"/>
        <v>0.002640693316677077</v>
      </c>
      <c r="K16" s="12">
        <f t="shared" si="6"/>
        <v>45.39914391547268</v>
      </c>
      <c r="M16" s="6">
        <v>0.2207</v>
      </c>
      <c r="N16" s="20">
        <f>(Sheet1!D24)</f>
        <v>3247.846488445854</v>
      </c>
      <c r="O16" s="5">
        <f t="shared" si="7"/>
        <v>3247846.488445854</v>
      </c>
      <c r="P16" s="20">
        <f>Sheet1!E24</f>
        <v>17192.13042603554</v>
      </c>
    </row>
    <row r="17" spans="1:16" ht="12.75">
      <c r="A17">
        <v>1965</v>
      </c>
      <c r="B17" s="20">
        <v>695.4</v>
      </c>
      <c r="C17" s="70">
        <f t="shared" si="0"/>
        <v>3467.087839643652</v>
      </c>
      <c r="D17" s="70"/>
      <c r="E17" s="31">
        <v>827.4</v>
      </c>
      <c r="F17" s="70">
        <f t="shared" si="1"/>
        <v>4125.206325167038</v>
      </c>
      <c r="G17" s="20">
        <f t="shared" si="2"/>
        <v>1522.8</v>
      </c>
      <c r="H17" s="11">
        <f t="shared" si="3"/>
        <v>6783.073496659243</v>
      </c>
      <c r="I17" s="72">
        <f t="shared" si="4"/>
        <v>7592.29416481069</v>
      </c>
      <c r="J17" s="76">
        <f t="shared" si="5"/>
        <v>0.0022162712851113374</v>
      </c>
      <c r="K17" s="12">
        <f t="shared" si="6"/>
        <v>39.6852793092786</v>
      </c>
      <c r="M17" s="6">
        <v>0.2245</v>
      </c>
      <c r="N17" s="20">
        <f>(Sheet1!D25)</f>
        <v>3425.7061469933183</v>
      </c>
      <c r="O17" s="5">
        <f t="shared" si="7"/>
        <v>3425706.146993318</v>
      </c>
      <c r="P17" s="20">
        <f>Sheet1!E25</f>
        <v>17906.327431970927</v>
      </c>
    </row>
    <row r="18" spans="1:11" ht="12.75">
      <c r="A18" s="46" t="s">
        <v>189</v>
      </c>
      <c r="C18" s="73">
        <f>SUM(C3:C17)</f>
        <v>96972.63721404516</v>
      </c>
      <c r="D18" s="73"/>
      <c r="E18" s="38"/>
      <c r="F18" s="73">
        <f>SUM(F3:F17)</f>
        <v>39821.9938021549</v>
      </c>
      <c r="I18" s="77">
        <f>SUM(I3:I17)</f>
        <v>136794.63101620006</v>
      </c>
      <c r="J18" s="75"/>
      <c r="K18" s="77">
        <f>SUM(K3:K17)</f>
        <v>794.6719929645002</v>
      </c>
    </row>
    <row r="19" spans="5:6" ht="12.75">
      <c r="E19" s="38"/>
      <c r="F19" s="38"/>
    </row>
    <row r="20" spans="1:11" ht="12.75">
      <c r="A20" s="46" t="s">
        <v>200</v>
      </c>
      <c r="C20" s="73">
        <f>AVERAGE(C3:C17)</f>
        <v>6464.842480936344</v>
      </c>
      <c r="D20" s="73"/>
      <c r="E20" s="38"/>
      <c r="F20" s="73">
        <f>AVERAGE(F3:F17)</f>
        <v>2654.7995868103267</v>
      </c>
      <c r="G20" s="46"/>
      <c r="H20" s="46"/>
      <c r="I20" s="73">
        <f>AVERAGE(I3:I17)</f>
        <v>9119.64206774667</v>
      </c>
      <c r="J20" s="84">
        <f>AVERAGE(J3:J17)</f>
        <v>0.003532180918887238</v>
      </c>
      <c r="K20" s="73">
        <f>AVERAGE(K3:K17)</f>
        <v>52.978132864300015</v>
      </c>
    </row>
    <row r="21" spans="1:6" ht="12.75">
      <c r="A21" t="s">
        <v>203</v>
      </c>
      <c r="E21" s="38"/>
      <c r="F21" s="38"/>
    </row>
    <row r="22" spans="1:6" ht="12.75">
      <c r="A22" s="18" t="s">
        <v>204</v>
      </c>
      <c r="E22" s="38"/>
      <c r="F22" s="38"/>
    </row>
    <row r="23" spans="1:6" ht="12.75">
      <c r="A23" s="18"/>
      <c r="E23" s="38"/>
      <c r="F23" s="38"/>
    </row>
    <row r="24" spans="1:6" ht="12.75">
      <c r="A24" s="18"/>
      <c r="E24" s="38"/>
      <c r="F24" s="38"/>
    </row>
    <row r="25" spans="1:6" ht="12.75">
      <c r="A25" s="46"/>
      <c r="E25" s="38"/>
      <c r="F25" s="38"/>
    </row>
    <row r="26" spans="1:6" ht="20.25">
      <c r="A26" s="87" t="s">
        <v>210</v>
      </c>
      <c r="E26" s="38"/>
      <c r="F26" s="38"/>
    </row>
    <row r="27" spans="1:6" ht="12.75">
      <c r="A27" s="18" t="s">
        <v>205</v>
      </c>
      <c r="E27" s="38"/>
      <c r="F27" s="78" t="s">
        <v>209</v>
      </c>
    </row>
    <row r="28" spans="2:6" ht="12.75">
      <c r="B28" t="s">
        <v>155</v>
      </c>
      <c r="E28" s="38"/>
      <c r="F28" s="79">
        <f>I20/1000</f>
        <v>9.119642067746671</v>
      </c>
    </row>
    <row r="29" spans="1:12" ht="31.5" customHeight="1">
      <c r="A29" t="s">
        <v>56</v>
      </c>
      <c r="B29" s="3" t="s">
        <v>43</v>
      </c>
      <c r="C29" s="3" t="s">
        <v>227</v>
      </c>
      <c r="D29" s="3" t="s">
        <v>229</v>
      </c>
      <c r="E29" s="3" t="s">
        <v>25</v>
      </c>
      <c r="F29" s="80" t="s">
        <v>228</v>
      </c>
      <c r="G29" s="80" t="s">
        <v>230</v>
      </c>
      <c r="H29" s="3"/>
      <c r="I29" s="3"/>
      <c r="L29" s="3" t="s">
        <v>221</v>
      </c>
    </row>
    <row r="30" spans="1:12" ht="12.75">
      <c r="A30" t="s">
        <v>20</v>
      </c>
      <c r="B30" s="63">
        <v>518.1</v>
      </c>
      <c r="C30" s="83">
        <f>9.12/B30</f>
        <v>0.017602779386218875</v>
      </c>
      <c r="D30" s="83">
        <f>69.23/B30</f>
        <v>0.13362285273113297</v>
      </c>
      <c r="E30" s="63">
        <v>13100</v>
      </c>
      <c r="F30" s="4">
        <f>E30*C30</f>
        <v>230.59640995946728</v>
      </c>
      <c r="G30" s="19">
        <f>(E30*D30)</f>
        <v>1750.459370777842</v>
      </c>
      <c r="L30" s="4">
        <v>62.8378947368421</v>
      </c>
    </row>
    <row r="31" spans="1:12" ht="12.75">
      <c r="A31" t="s">
        <v>21</v>
      </c>
      <c r="B31" s="63">
        <v>1556</v>
      </c>
      <c r="C31" s="83">
        <f aca="true" t="shared" si="8" ref="C31:C46">9.12/B31</f>
        <v>0.005861182519280205</v>
      </c>
      <c r="D31" s="83">
        <f aca="true" t="shared" si="9" ref="D31:D46">69.23/B31</f>
        <v>0.044492287917737794</v>
      </c>
      <c r="E31" s="63">
        <v>8400</v>
      </c>
      <c r="F31" s="4">
        <f aca="true" t="shared" si="10" ref="F31:F46">E31*C31</f>
        <v>49.23393316195372</v>
      </c>
      <c r="G31" s="19">
        <f aca="true" t="shared" si="11" ref="G31:G46">(E31*D31)</f>
        <v>373.7352185089975</v>
      </c>
      <c r="L31" s="4">
        <v>91.11494736842104</v>
      </c>
    </row>
    <row r="32" spans="1:12" ht="12.75">
      <c r="A32" t="s">
        <v>16</v>
      </c>
      <c r="B32" s="63">
        <v>8859</v>
      </c>
      <c r="C32" s="83">
        <f t="shared" si="8"/>
        <v>0.0010294615645106671</v>
      </c>
      <c r="D32" s="83">
        <f t="shared" si="9"/>
        <v>0.007814651766565076</v>
      </c>
      <c r="E32" s="63">
        <v>6800</v>
      </c>
      <c r="F32" s="4">
        <f t="shared" si="10"/>
        <v>7.000338638672536</v>
      </c>
      <c r="G32" s="19">
        <f t="shared" si="11"/>
        <v>53.139632012642515</v>
      </c>
      <c r="L32" s="4">
        <v>78.54736842105262</v>
      </c>
    </row>
    <row r="33" spans="1:12" ht="12.75">
      <c r="A33" t="s">
        <v>22</v>
      </c>
      <c r="B33" s="63">
        <v>303.5</v>
      </c>
      <c r="C33" s="83">
        <f t="shared" si="8"/>
        <v>0.0300494233937397</v>
      </c>
      <c r="D33" s="83">
        <f t="shared" si="9"/>
        <v>0.2281054365733114</v>
      </c>
      <c r="E33" s="63">
        <v>3900</v>
      </c>
      <c r="F33" s="4">
        <f t="shared" si="10"/>
        <v>117.19275123558482</v>
      </c>
      <c r="G33" s="19">
        <f t="shared" si="11"/>
        <v>889.6112026359144</v>
      </c>
      <c r="L33" s="4">
        <v>39.27368421052631</v>
      </c>
    </row>
    <row r="34" spans="1:12" ht="12.75">
      <c r="A34" t="s">
        <v>23</v>
      </c>
      <c r="B34" s="63">
        <v>2504</v>
      </c>
      <c r="C34" s="83">
        <f t="shared" si="8"/>
        <v>0.003642172523961661</v>
      </c>
      <c r="D34" s="83">
        <f t="shared" si="9"/>
        <v>0.027647763578274764</v>
      </c>
      <c r="E34" s="63">
        <v>30400</v>
      </c>
      <c r="F34" s="4">
        <f t="shared" si="10"/>
        <v>110.7220447284345</v>
      </c>
      <c r="G34" s="19">
        <f t="shared" si="11"/>
        <v>840.4920127795529</v>
      </c>
      <c r="L34" s="4">
        <v>54.983157894736834</v>
      </c>
    </row>
    <row r="35" spans="1:12" ht="12.75">
      <c r="A35" t="s">
        <v>15</v>
      </c>
      <c r="B35" s="63">
        <v>1816</v>
      </c>
      <c r="C35" s="83">
        <f t="shared" si="8"/>
        <v>0.005022026431718061</v>
      </c>
      <c r="D35" s="83">
        <f t="shared" si="9"/>
        <v>0.03812224669603524</v>
      </c>
      <c r="E35" s="63">
        <v>29900</v>
      </c>
      <c r="F35" s="4">
        <f t="shared" si="10"/>
        <v>150.15859030837004</v>
      </c>
      <c r="G35" s="19">
        <f t="shared" si="11"/>
        <v>1139.8551762114537</v>
      </c>
      <c r="L35" s="4">
        <v>70.69263157894736</v>
      </c>
    </row>
    <row r="36" spans="1:12" ht="12.75">
      <c r="A36" t="s">
        <v>24</v>
      </c>
      <c r="B36" s="63">
        <v>3611</v>
      </c>
      <c r="C36" s="83">
        <f t="shared" si="8"/>
        <v>0.002525616172805317</v>
      </c>
      <c r="D36" s="83">
        <f t="shared" si="9"/>
        <v>0.019171974522292995</v>
      </c>
      <c r="E36" s="63">
        <v>3300</v>
      </c>
      <c r="F36" s="4">
        <f t="shared" si="10"/>
        <v>8.334533370257546</v>
      </c>
      <c r="G36" s="19">
        <f t="shared" si="11"/>
        <v>63.26751592356688</v>
      </c>
      <c r="L36" s="4">
        <v>84.83115789473683</v>
      </c>
    </row>
    <row r="37" spans="1:12" ht="12.75">
      <c r="A37" t="s">
        <v>26</v>
      </c>
      <c r="B37" s="63">
        <v>561.6</v>
      </c>
      <c r="C37" s="83">
        <f t="shared" si="8"/>
        <v>0.016239316239316237</v>
      </c>
      <c r="D37" s="83">
        <f t="shared" si="9"/>
        <v>0.12327279202279202</v>
      </c>
      <c r="E37" s="63">
        <v>8300</v>
      </c>
      <c r="F37" s="4">
        <f t="shared" si="10"/>
        <v>134.78632478632477</v>
      </c>
      <c r="G37" s="19">
        <f t="shared" si="11"/>
        <v>1023.1641737891738</v>
      </c>
      <c r="L37" s="4">
        <v>78.54736842105262</v>
      </c>
    </row>
    <row r="38" spans="1:12" ht="12.75">
      <c r="A38" t="s">
        <v>42</v>
      </c>
      <c r="B38" s="63">
        <v>154.5</v>
      </c>
      <c r="C38" s="83">
        <f t="shared" si="8"/>
        <v>0.05902912621359223</v>
      </c>
      <c r="D38" s="83">
        <f t="shared" si="9"/>
        <v>0.4480906148867314</v>
      </c>
      <c r="E38" s="63">
        <v>24600</v>
      </c>
      <c r="F38" s="4">
        <f t="shared" si="10"/>
        <v>1452.1165048543687</v>
      </c>
      <c r="G38" s="19">
        <f t="shared" si="11"/>
        <v>11023.029126213592</v>
      </c>
      <c r="L38" s="4">
        <v>81.68926315789473</v>
      </c>
    </row>
    <row r="39" spans="1:12" ht="12.75">
      <c r="A39" t="s">
        <v>29</v>
      </c>
      <c r="B39" s="63">
        <v>40</v>
      </c>
      <c r="C39" s="83">
        <f t="shared" si="8"/>
        <v>0.22799999999999998</v>
      </c>
      <c r="D39" s="83">
        <f t="shared" si="9"/>
        <v>1.73075</v>
      </c>
      <c r="E39" s="63">
        <v>1700</v>
      </c>
      <c r="F39" s="4">
        <f t="shared" si="10"/>
        <v>387.59999999999997</v>
      </c>
      <c r="G39" s="19">
        <f t="shared" si="11"/>
        <v>2942.275</v>
      </c>
      <c r="L39" s="4">
        <v>70.69263157894736</v>
      </c>
    </row>
    <row r="40" spans="1:12" ht="12.75">
      <c r="A40" t="s">
        <v>30</v>
      </c>
      <c r="B40" s="63">
        <v>393.4</v>
      </c>
      <c r="C40" s="83">
        <f t="shared" si="8"/>
        <v>0.023182511438739197</v>
      </c>
      <c r="D40" s="83">
        <f t="shared" si="9"/>
        <v>0.17597864768683277</v>
      </c>
      <c r="E40" s="63">
        <v>2400</v>
      </c>
      <c r="F40" s="4">
        <f t="shared" si="10"/>
        <v>55.63802745297407</v>
      </c>
      <c r="G40" s="19">
        <f t="shared" si="11"/>
        <v>422.34875444839867</v>
      </c>
      <c r="L40" s="4">
        <v>84.83115789473683</v>
      </c>
    </row>
    <row r="41" spans="1:12" ht="12.75">
      <c r="A41" t="s">
        <v>207</v>
      </c>
      <c r="B41" s="63">
        <v>750.39</v>
      </c>
      <c r="C41" s="83">
        <f t="shared" si="8"/>
        <v>0.012153680086355095</v>
      </c>
      <c r="D41" s="83">
        <f t="shared" si="9"/>
        <v>0.09225869214675037</v>
      </c>
      <c r="E41" s="63">
        <v>5240</v>
      </c>
      <c r="F41" s="4">
        <f t="shared" si="10"/>
        <v>63.6852836525007</v>
      </c>
      <c r="G41" s="19">
        <f t="shared" si="11"/>
        <v>483.4355468489719</v>
      </c>
      <c r="L41" s="4">
        <v>78.54736842105262</v>
      </c>
    </row>
    <row r="42" spans="1:12" ht="12.75">
      <c r="A42" t="s">
        <v>31</v>
      </c>
      <c r="B42" s="63">
        <v>338</v>
      </c>
      <c r="C42" s="83">
        <f t="shared" si="8"/>
        <v>0.026982248520710055</v>
      </c>
      <c r="D42" s="83">
        <f t="shared" si="9"/>
        <v>0.2048224852071006</v>
      </c>
      <c r="E42" s="63">
        <v>12800</v>
      </c>
      <c r="F42" s="4">
        <f t="shared" si="10"/>
        <v>345.3727810650887</v>
      </c>
      <c r="G42" s="19">
        <f t="shared" si="11"/>
        <v>2621.727810650888</v>
      </c>
      <c r="L42" s="4">
        <v>65.9797894736842</v>
      </c>
    </row>
    <row r="43" spans="1:12" ht="12.75">
      <c r="A43" t="s">
        <v>34</v>
      </c>
      <c r="B43" s="63">
        <v>965.3</v>
      </c>
      <c r="C43" s="83">
        <f t="shared" si="8"/>
        <v>0.009447840049725473</v>
      </c>
      <c r="D43" s="83">
        <f t="shared" si="9"/>
        <v>0.071718636693256</v>
      </c>
      <c r="E43" s="63">
        <v>20400</v>
      </c>
      <c r="F43" s="4">
        <f t="shared" si="10"/>
        <v>192.73593701439964</v>
      </c>
      <c r="G43" s="19">
        <f t="shared" si="11"/>
        <v>1463.0601885424223</v>
      </c>
      <c r="L43" s="4">
        <v>56.55410526315789</v>
      </c>
    </row>
    <row r="44" spans="1:12" ht="12.75">
      <c r="A44" t="s">
        <v>35</v>
      </c>
      <c r="B44" s="63">
        <v>631.2</v>
      </c>
      <c r="C44" s="83">
        <f t="shared" si="8"/>
        <v>0.01444866920152091</v>
      </c>
      <c r="D44" s="83">
        <f t="shared" si="9"/>
        <v>0.10967997465145754</v>
      </c>
      <c r="E44" s="63">
        <v>27600</v>
      </c>
      <c r="F44" s="4">
        <f t="shared" si="10"/>
        <v>398.7832699619771</v>
      </c>
      <c r="G44" s="19">
        <f t="shared" si="11"/>
        <v>3027.167300380228</v>
      </c>
      <c r="L44" s="4">
        <v>39.27368421052631</v>
      </c>
    </row>
    <row r="45" spans="1:12" ht="12.75">
      <c r="A45" t="s">
        <v>32</v>
      </c>
      <c r="B45" s="63">
        <v>572</v>
      </c>
      <c r="C45" s="83">
        <f t="shared" si="8"/>
        <v>0.015944055944055943</v>
      </c>
      <c r="D45" s="83">
        <f t="shared" si="9"/>
        <v>0.12103146853146854</v>
      </c>
      <c r="E45" s="63">
        <v>8200</v>
      </c>
      <c r="F45" s="4">
        <f t="shared" si="10"/>
        <v>130.74125874125875</v>
      </c>
      <c r="G45" s="19">
        <f t="shared" si="11"/>
        <v>992.458041958042</v>
      </c>
      <c r="L45" s="4">
        <f>SUM(L30:L44)</f>
        <v>1038.3962105263158</v>
      </c>
    </row>
    <row r="46" spans="1:12" ht="12.75">
      <c r="A46" t="s">
        <v>33</v>
      </c>
      <c r="B46" s="63">
        <v>1830</v>
      </c>
      <c r="C46" s="83">
        <f t="shared" si="8"/>
        <v>0.004983606557377049</v>
      </c>
      <c r="D46" s="83">
        <f t="shared" si="9"/>
        <v>0.037830601092896175</v>
      </c>
      <c r="E46" s="63">
        <v>30300</v>
      </c>
      <c r="F46" s="4">
        <f t="shared" si="10"/>
        <v>151.00327868852457</v>
      </c>
      <c r="G46" s="19">
        <f t="shared" si="11"/>
        <v>1146.2672131147542</v>
      </c>
      <c r="L46" s="4">
        <f>AVERAGE(L30:L44)</f>
        <v>69.22641403508773</v>
      </c>
    </row>
    <row r="47" spans="5:6" ht="12.75">
      <c r="E47" s="38"/>
      <c r="F47" s="38"/>
    </row>
    <row r="48" spans="5:6" ht="12.75">
      <c r="E48" s="38"/>
      <c r="F48" s="38"/>
    </row>
    <row r="49" spans="5:6" ht="12.75">
      <c r="E49" s="38"/>
      <c r="F49" s="38"/>
    </row>
    <row r="50" spans="1:6" ht="20.25">
      <c r="A50" s="87" t="s">
        <v>211</v>
      </c>
      <c r="E50" s="38"/>
      <c r="F50" s="38"/>
    </row>
    <row r="51" spans="1:10" ht="127.5">
      <c r="A51" t="s">
        <v>7</v>
      </c>
      <c r="B51" s="81" t="s">
        <v>214</v>
      </c>
      <c r="C51" s="3" t="s">
        <v>215</v>
      </c>
      <c r="D51" s="3"/>
      <c r="E51" s="80" t="s">
        <v>189</v>
      </c>
      <c r="F51" s="38" t="s">
        <v>195</v>
      </c>
      <c r="G51" s="3" t="s">
        <v>216</v>
      </c>
      <c r="I51" s="3" t="s">
        <v>212</v>
      </c>
      <c r="J51" s="3" t="s">
        <v>213</v>
      </c>
    </row>
    <row r="52" spans="1:10" ht="12.75">
      <c r="A52">
        <v>1951</v>
      </c>
      <c r="B52" s="24">
        <v>9002.472083575158</v>
      </c>
      <c r="C52" s="20">
        <v>1592.225362739408</v>
      </c>
      <c r="D52" s="20"/>
      <c r="E52" s="20">
        <v>10594.697446314567</v>
      </c>
      <c r="F52" s="83">
        <v>0.0050870243293824075</v>
      </c>
      <c r="G52" s="4">
        <v>68.7407013871768</v>
      </c>
      <c r="I52">
        <v>271</v>
      </c>
      <c r="J52" s="20">
        <f>E52/I52</f>
        <v>39.094824525146</v>
      </c>
    </row>
    <row r="53" spans="1:10" ht="12.75">
      <c r="A53">
        <v>1952</v>
      </c>
      <c r="B53" s="24">
        <v>3136.163671875</v>
      </c>
      <c r="C53" s="20">
        <v>1962.52265625</v>
      </c>
      <c r="D53" s="20"/>
      <c r="E53" s="20">
        <v>5098.686328125</v>
      </c>
      <c r="F53" s="83">
        <v>0.0023416523235800344</v>
      </c>
      <c r="G53" s="4">
        <v>32.49117365329564</v>
      </c>
      <c r="I53">
        <v>365</v>
      </c>
      <c r="J53" s="20">
        <f aca="true" t="shared" si="12" ref="J53:J66">E53/I53</f>
        <v>13.969003638698629</v>
      </c>
    </row>
    <row r="54" spans="1:10" ht="12.75">
      <c r="A54">
        <v>1953</v>
      </c>
      <c r="B54" s="24">
        <v>17618.088657534245</v>
      </c>
      <c r="C54" s="20">
        <v>1660.2438904109588</v>
      </c>
      <c r="D54" s="20"/>
      <c r="E54" s="20">
        <v>19278.332547945203</v>
      </c>
      <c r="F54" s="83">
        <v>0.00842933762402789</v>
      </c>
      <c r="G54" s="4">
        <v>120.69701737098761</v>
      </c>
      <c r="I54">
        <v>431</v>
      </c>
      <c r="J54" s="20">
        <f t="shared" si="12"/>
        <v>44.72930985602135</v>
      </c>
    </row>
    <row r="55" spans="1:10" ht="12.75">
      <c r="A55">
        <v>1954</v>
      </c>
      <c r="B55" s="24">
        <v>5020.478873239437</v>
      </c>
      <c r="C55" s="20">
        <v>1571.0218309859158</v>
      </c>
      <c r="D55" s="20"/>
      <c r="E55" s="20">
        <v>6591.500704225352</v>
      </c>
      <c r="F55" s="83">
        <v>0.00288126159554731</v>
      </c>
      <c r="G55" s="4">
        <v>40.55690412829647</v>
      </c>
      <c r="I55">
        <v>627</v>
      </c>
      <c r="J55" s="20">
        <f t="shared" si="12"/>
        <v>10.512760293820339</v>
      </c>
    </row>
    <row r="56" spans="1:10" ht="12.75">
      <c r="A56">
        <v>1955</v>
      </c>
      <c r="B56" s="24">
        <v>4784.376315789474</v>
      </c>
      <c r="C56" s="20">
        <v>1612.825939849624</v>
      </c>
      <c r="D56" s="20"/>
      <c r="E56" s="20">
        <v>6397.202255639098</v>
      </c>
      <c r="F56" s="83">
        <v>0.002696908261530664</v>
      </c>
      <c r="G56" s="4">
        <v>38.694825751639996</v>
      </c>
      <c r="I56">
        <v>994</v>
      </c>
      <c r="J56" s="20">
        <f t="shared" si="12"/>
        <v>6.435817158590642</v>
      </c>
    </row>
    <row r="57" spans="1:10" ht="12.75">
      <c r="A57">
        <v>1956</v>
      </c>
      <c r="B57" s="24">
        <v>5155.457142857143</v>
      </c>
      <c r="C57" s="20">
        <v>1758.9</v>
      </c>
      <c r="D57" s="20"/>
      <c r="E57" s="20">
        <v>6914.357142857143</v>
      </c>
      <c r="F57" s="83">
        <v>0.002763342696629214</v>
      </c>
      <c r="G57" s="4">
        <v>41.126477173237035</v>
      </c>
      <c r="I57">
        <v>1561</v>
      </c>
      <c r="J57" s="20">
        <f t="shared" si="12"/>
        <v>4.429440834629816</v>
      </c>
    </row>
    <row r="58" spans="1:10" ht="12.75">
      <c r="A58">
        <v>1957</v>
      </c>
      <c r="B58" s="24">
        <v>5900.737367624811</v>
      </c>
      <c r="C58" s="20">
        <v>2176.5107413010587</v>
      </c>
      <c r="D58" s="20"/>
      <c r="E58" s="20">
        <v>8077.24810892587</v>
      </c>
      <c r="F58" s="83">
        <v>0.0031778814123917384</v>
      </c>
      <c r="G58" s="4">
        <v>47.256381843132715</v>
      </c>
      <c r="I58">
        <v>1826</v>
      </c>
      <c r="J58" s="20">
        <f t="shared" si="12"/>
        <v>4.423465558009786</v>
      </c>
    </row>
    <row r="59" spans="1:10" ht="12.75">
      <c r="A59">
        <v>1958</v>
      </c>
      <c r="B59" s="24">
        <v>6475.832599118942</v>
      </c>
      <c r="C59" s="20">
        <v>2639.0935389133624</v>
      </c>
      <c r="D59" s="20"/>
      <c r="E59" s="20">
        <v>9114.926138032306</v>
      </c>
      <c r="F59" s="83">
        <v>0.003612812160694897</v>
      </c>
      <c r="G59" s="4">
        <v>52.4679478568348</v>
      </c>
      <c r="I59">
        <v>3378</v>
      </c>
      <c r="J59" s="20">
        <f t="shared" si="12"/>
        <v>2.698320348736621</v>
      </c>
    </row>
    <row r="60" spans="1:10" ht="12.75">
      <c r="A60">
        <v>1959</v>
      </c>
      <c r="B60" s="24">
        <v>7137.088337349398</v>
      </c>
      <c r="C60" s="20">
        <v>2814.162939759037</v>
      </c>
      <c r="D60" s="20"/>
      <c r="E60" s="20">
        <v>9951.251277108433</v>
      </c>
      <c r="F60" s="83">
        <v>0.0037534079348931835</v>
      </c>
      <c r="G60" s="4">
        <v>56.37354040408704</v>
      </c>
      <c r="I60" s="18">
        <v>5646</v>
      </c>
      <c r="J60" s="20">
        <f t="shared" si="12"/>
        <v>1.7625312215920002</v>
      </c>
    </row>
    <row r="61" spans="1:10" ht="12.75">
      <c r="A61">
        <v>1960</v>
      </c>
      <c r="B61" s="24">
        <v>7304.764999999999</v>
      </c>
      <c r="C61" s="20">
        <v>2813.707</v>
      </c>
      <c r="D61" s="20"/>
      <c r="E61" s="20">
        <v>10118.472</v>
      </c>
      <c r="F61" s="83">
        <v>0.0036655725043444687</v>
      </c>
      <c r="G61" s="4">
        <v>56.42590256390452</v>
      </c>
      <c r="I61">
        <v>4966</v>
      </c>
      <c r="J61" s="20">
        <f t="shared" si="12"/>
        <v>2.0375497382198953</v>
      </c>
    </row>
    <row r="62" spans="1:10" ht="12.75">
      <c r="A62">
        <v>1961</v>
      </c>
      <c r="B62" s="24">
        <v>6680.066478873239</v>
      </c>
      <c r="C62" s="20">
        <v>2853.9522535211267</v>
      </c>
      <c r="D62" s="20"/>
      <c r="E62" s="20">
        <v>9534.018732394366</v>
      </c>
      <c r="F62" s="83">
        <v>0.003418048229088169</v>
      </c>
      <c r="G62" s="4">
        <v>52.46512803705437</v>
      </c>
      <c r="I62">
        <v>3692</v>
      </c>
      <c r="J62" s="20">
        <f t="shared" si="12"/>
        <v>2.582345268795874</v>
      </c>
    </row>
    <row r="63" spans="1:10" ht="12.75">
      <c r="A63">
        <v>1962</v>
      </c>
      <c r="B63" s="24">
        <v>5620.922980501393</v>
      </c>
      <c r="C63" s="20">
        <v>3901.960863509749</v>
      </c>
      <c r="D63" s="20"/>
      <c r="E63" s="20">
        <v>9522.883844011141</v>
      </c>
      <c r="F63" s="83">
        <v>0.003228682170542635</v>
      </c>
      <c r="G63" s="4">
        <v>51.72136816539115</v>
      </c>
      <c r="I63">
        <v>3261</v>
      </c>
      <c r="J63" s="20">
        <f t="shared" si="12"/>
        <v>2.920234236127305</v>
      </c>
    </row>
    <row r="64" spans="1:10" ht="12.75">
      <c r="A64">
        <v>1963</v>
      </c>
      <c r="B64" s="24">
        <v>5476.923246217331</v>
      </c>
      <c r="C64" s="20">
        <v>3955.270563961486</v>
      </c>
      <c r="D64" s="20"/>
      <c r="E64" s="20">
        <v>9432.193810178816</v>
      </c>
      <c r="F64" s="83">
        <v>0.003069817938867546</v>
      </c>
      <c r="G64" s="4">
        <v>50.57020140471084</v>
      </c>
      <c r="I64">
        <v>2072</v>
      </c>
      <c r="J64" s="20">
        <f t="shared" si="12"/>
        <v>4.552217089854641</v>
      </c>
    </row>
    <row r="65" spans="1:10" ht="12.75">
      <c r="A65">
        <v>1964</v>
      </c>
      <c r="B65" s="24">
        <v>4192.1766198459445</v>
      </c>
      <c r="C65" s="20">
        <v>4384.389895786135</v>
      </c>
      <c r="D65" s="20"/>
      <c r="E65" s="20">
        <v>8576.56651563208</v>
      </c>
      <c r="F65" s="83">
        <v>0.002640693316677077</v>
      </c>
      <c r="G65" s="4">
        <v>45.39914391547268</v>
      </c>
      <c r="I65">
        <v>1597</v>
      </c>
      <c r="J65" s="20">
        <f t="shared" si="12"/>
        <v>5.370423616551083</v>
      </c>
    </row>
    <row r="66" spans="1:10" ht="12.75">
      <c r="A66">
        <v>1965</v>
      </c>
      <c r="B66" s="24">
        <v>3467.087839643652</v>
      </c>
      <c r="C66" s="20">
        <v>4125.206325167038</v>
      </c>
      <c r="D66" s="20"/>
      <c r="E66" s="20">
        <v>7592.29416481069</v>
      </c>
      <c r="F66" s="83">
        <v>0.0022162712851113374</v>
      </c>
      <c r="G66" s="4">
        <v>39.6852793092786</v>
      </c>
      <c r="I66">
        <v>926</v>
      </c>
      <c r="J66" s="20">
        <f t="shared" si="12"/>
        <v>8.199021776253444</v>
      </c>
    </row>
    <row r="67" spans="1:10" ht="12.75">
      <c r="A67" s="46" t="s">
        <v>189</v>
      </c>
      <c r="B67" s="73">
        <v>96972.63721404516</v>
      </c>
      <c r="C67" s="73">
        <v>39821.9938021549</v>
      </c>
      <c r="D67" s="73"/>
      <c r="E67" s="73">
        <v>136794.63101620006</v>
      </c>
      <c r="F67" s="38"/>
      <c r="G67" s="82">
        <v>794.6719929645002</v>
      </c>
      <c r="I67" s="46">
        <f>SUM(I52:I66)</f>
        <v>31613</v>
      </c>
      <c r="J67" s="20"/>
    </row>
    <row r="68" spans="3:9" ht="12.75">
      <c r="C68" s="73"/>
      <c r="D68" s="73"/>
      <c r="E68" s="73"/>
      <c r="F68" s="38"/>
      <c r="G68" s="82"/>
      <c r="I68" s="46"/>
    </row>
    <row r="69" spans="1:10" ht="12.75">
      <c r="A69" s="46" t="s">
        <v>200</v>
      </c>
      <c r="B69" s="73">
        <v>6464.842480936344</v>
      </c>
      <c r="C69" s="73">
        <v>2654.7995868103267</v>
      </c>
      <c r="D69" s="73"/>
      <c r="E69" s="73">
        <v>9119.64206774667</v>
      </c>
      <c r="F69" s="85" t="s">
        <v>208</v>
      </c>
      <c r="G69" s="82">
        <v>52.978132864300015</v>
      </c>
      <c r="I69" s="88">
        <f>AVERAGE(I52:I66)</f>
        <v>2107.5333333333333</v>
      </c>
      <c r="J69" s="73">
        <f>AVERAGE(J52:J66)</f>
        <v>10.24781767740316</v>
      </c>
    </row>
    <row r="70" spans="1:6" ht="12.75">
      <c r="A70" t="s">
        <v>217</v>
      </c>
      <c r="E70" s="38"/>
      <c r="F70" s="38"/>
    </row>
    <row r="71" spans="5:6" ht="12.75">
      <c r="E71" s="38"/>
      <c r="F71" s="38"/>
    </row>
    <row r="72" spans="5:6" ht="12.75">
      <c r="E72" s="38"/>
      <c r="F72" s="38"/>
    </row>
    <row r="73" spans="5:6" ht="12.75">
      <c r="E73" s="38"/>
      <c r="F73" s="38"/>
    </row>
    <row r="74" spans="5:6" ht="12.75">
      <c r="E74" s="38"/>
      <c r="F74" s="38"/>
    </row>
    <row r="75" spans="5:6" ht="12.75">
      <c r="E75" s="38"/>
      <c r="F75" s="38"/>
    </row>
    <row r="76" spans="5:6" ht="12.75">
      <c r="E76" s="38"/>
      <c r="F76" s="38"/>
    </row>
    <row r="77" spans="5:6" ht="12.75">
      <c r="E77" s="38"/>
      <c r="F77" s="38"/>
    </row>
    <row r="78" spans="5:6" ht="12.75">
      <c r="E78" s="38"/>
      <c r="F78" s="38"/>
    </row>
    <row r="79" spans="5:6" ht="12.75">
      <c r="E79" s="38"/>
      <c r="F79" s="38"/>
    </row>
    <row r="80" spans="5:6" ht="12.75">
      <c r="E80" s="38"/>
      <c r="F80" s="38"/>
    </row>
    <row r="81" spans="5:6" ht="12.75">
      <c r="E81" s="38"/>
      <c r="F81" s="38"/>
    </row>
    <row r="82" spans="5:6" ht="12.75">
      <c r="E82" s="38"/>
      <c r="F82" s="38"/>
    </row>
    <row r="83" spans="5:6" ht="12.75">
      <c r="E83" s="38"/>
      <c r="F83" s="38"/>
    </row>
    <row r="84" spans="5:6" ht="12.75">
      <c r="E84" s="38"/>
      <c r="F84" s="38"/>
    </row>
    <row r="85" spans="5:6" ht="12.75">
      <c r="E85" s="38"/>
      <c r="F85" s="38"/>
    </row>
    <row r="86" spans="5:6" ht="12.75">
      <c r="E86" s="38"/>
      <c r="F86" s="38"/>
    </row>
    <row r="87" spans="5:6" ht="12.75">
      <c r="E87" s="38"/>
      <c r="F87" s="38"/>
    </row>
    <row r="88" spans="5:6" ht="12.75">
      <c r="E88" s="38"/>
      <c r="F88" s="38"/>
    </row>
    <row r="89" spans="5:6" ht="12.75">
      <c r="E89" s="38"/>
      <c r="F89" s="38"/>
    </row>
    <row r="90" spans="5:6" ht="12.75">
      <c r="E90" s="38"/>
      <c r="F90" s="38"/>
    </row>
    <row r="91" spans="5:6" ht="12.75">
      <c r="E91" s="38"/>
      <c r="F91" s="38"/>
    </row>
    <row r="92" spans="5:6" ht="12.75">
      <c r="E92" s="38"/>
      <c r="F92" s="38"/>
    </row>
    <row r="93" spans="5:6" ht="12.75">
      <c r="E93" s="38"/>
      <c r="F93" s="38"/>
    </row>
    <row r="94" spans="5:6" ht="12.75">
      <c r="E94" s="38"/>
      <c r="F94" s="38"/>
    </row>
    <row r="95" spans="5:6" ht="12.75">
      <c r="E95" s="38"/>
      <c r="F95" s="38"/>
    </row>
    <row r="96" spans="5:6" ht="12.75">
      <c r="E96" s="38"/>
      <c r="F96" s="38"/>
    </row>
  </sheetData>
  <printOptions/>
  <pageMargins left="0.75" right="0.75" top="1" bottom="1" header="0.5" footer="0.5"/>
  <pageSetup horizontalDpi="600" verticalDpi="600" orientation="portrait" r:id="rId1"/>
  <ignoredErrors>
    <ignoredError sqref="I3:I4 I6:I17" formula="1"/>
  </ignoredErrors>
</worksheet>
</file>

<file path=xl/worksheets/sheet4.xml><?xml version="1.0" encoding="utf-8"?>
<worksheet xmlns="http://schemas.openxmlformats.org/spreadsheetml/2006/main" xmlns:r="http://schemas.openxmlformats.org/officeDocument/2006/relationships">
  <dimension ref="A2:S38"/>
  <sheetViews>
    <sheetView workbookViewId="0" topLeftCell="F6">
      <selection activeCell="L2" sqref="L2:S19"/>
    </sheetView>
  </sheetViews>
  <sheetFormatPr defaultColWidth="9.140625" defaultRowHeight="12.75"/>
  <cols>
    <col min="2" max="2" width="12.57421875" style="0" customWidth="1"/>
    <col min="4" max="4" width="13.421875" style="0" customWidth="1"/>
    <col min="6" max="6" width="8.7109375" style="0" customWidth="1"/>
    <col min="9" max="10" width="6.28125" style="0" customWidth="1"/>
    <col min="11" max="11" width="12.421875" style="0" bestFit="1" customWidth="1"/>
    <col min="13" max="13" width="12.28125" style="0" bestFit="1" customWidth="1"/>
    <col min="14" max="14" width="15.421875" style="0" customWidth="1"/>
    <col min="15" max="15" width="12.28125" style="0" bestFit="1" customWidth="1"/>
  </cols>
  <sheetData>
    <row r="1" ht="33" customHeight="1"/>
    <row r="2" spans="2:19" ht="140.25">
      <c r="B2" t="s">
        <v>234</v>
      </c>
      <c r="C2" s="81" t="s">
        <v>214</v>
      </c>
      <c r="D2" s="3" t="s">
        <v>215</v>
      </c>
      <c r="E2" s="80" t="s">
        <v>189</v>
      </c>
      <c r="F2" s="80" t="s">
        <v>195</v>
      </c>
      <c r="G2" s="3" t="s">
        <v>216</v>
      </c>
      <c r="H2" s="3" t="s">
        <v>212</v>
      </c>
      <c r="I2" s="3" t="s">
        <v>213</v>
      </c>
      <c r="J2" s="3"/>
      <c r="L2" t="s">
        <v>235</v>
      </c>
      <c r="M2" s="81" t="s">
        <v>243</v>
      </c>
      <c r="N2" s="3" t="s">
        <v>242</v>
      </c>
      <c r="O2" s="80" t="s">
        <v>241</v>
      </c>
      <c r="P2" s="80" t="s">
        <v>195</v>
      </c>
      <c r="Q2" s="3" t="s">
        <v>216</v>
      </c>
      <c r="R2" s="3" t="s">
        <v>212</v>
      </c>
      <c r="S2" s="3" t="s">
        <v>240</v>
      </c>
    </row>
    <row r="3" spans="2:19" ht="12.75">
      <c r="B3">
        <v>1951</v>
      </c>
      <c r="C3" s="24">
        <f>9002.47208357516/1.1193</f>
        <v>8042.948345908299</v>
      </c>
      <c r="D3" s="20">
        <v>1592.22536273941</v>
      </c>
      <c r="E3" s="20">
        <v>10594.697446314567</v>
      </c>
      <c r="F3" s="83">
        <v>0.0050870243293824075</v>
      </c>
      <c r="G3" s="4">
        <v>68.7407013871768</v>
      </c>
      <c r="H3">
        <v>271</v>
      </c>
      <c r="I3" s="20">
        <f aca="true" t="shared" si="0" ref="I3:I17">E3/H3</f>
        <v>39.094824525146</v>
      </c>
      <c r="J3" s="20"/>
      <c r="L3">
        <v>1951</v>
      </c>
      <c r="M3" s="96">
        <f>(C3/1.1193)*1.1955</f>
        <v>8590.498300306774</v>
      </c>
      <c r="N3" s="63">
        <f>(D3/1.1193)*1.1955</f>
        <v>1700.6213000580403</v>
      </c>
      <c r="O3" s="63">
        <f>(E3/1.1193)*1.1955</f>
        <v>11315.96604759141</v>
      </c>
      <c r="P3" s="93">
        <f>O3/G24</f>
        <v>0.005087024329382408</v>
      </c>
      <c r="Q3" s="63">
        <f>M24/B24</f>
        <v>73.42044894878036</v>
      </c>
      <c r="R3">
        <v>271</v>
      </c>
      <c r="S3" s="63">
        <f>O3/R3</f>
        <v>41.75633227893509</v>
      </c>
    </row>
    <row r="4" spans="2:19" ht="12.75">
      <c r="B4">
        <v>1952</v>
      </c>
      <c r="C4" s="24">
        <v>3136.163671875</v>
      </c>
      <c r="D4" s="20">
        <v>1962.52265625</v>
      </c>
      <c r="E4" s="20">
        <v>5098.686328125</v>
      </c>
      <c r="F4" s="83">
        <v>0.0023416523235800344</v>
      </c>
      <c r="G4" s="4">
        <v>32.49117365329564</v>
      </c>
      <c r="H4">
        <v>365</v>
      </c>
      <c r="I4" s="20">
        <f t="shared" si="0"/>
        <v>13.969003638698629</v>
      </c>
      <c r="J4" s="20"/>
      <c r="L4">
        <v>1952</v>
      </c>
      <c r="M4" s="96">
        <f aca="true" t="shared" si="1" ref="M4:M17">(C4/1.1193)*1.1955</f>
        <v>3349.6682477678573</v>
      </c>
      <c r="N4" s="63">
        <f aca="true" t="shared" si="2" ref="N4:N17">(D4/1.1193)*1.1955</f>
        <v>2096.1277901785716</v>
      </c>
      <c r="O4" s="63">
        <f aca="true" t="shared" si="3" ref="O4:O17">(E4/1.1193)*1.1955</f>
        <v>5445.796037946428</v>
      </c>
      <c r="P4" s="93">
        <f aca="true" t="shared" si="4" ref="P4:P17">O4/G25</f>
        <v>0.002341652323580034</v>
      </c>
      <c r="Q4" s="63">
        <f aca="true" t="shared" si="5" ref="Q4:Q17">M25/B25</f>
        <v>34.703116324948574</v>
      </c>
      <c r="R4">
        <v>365</v>
      </c>
      <c r="S4" s="63">
        <f aca="true" t="shared" si="6" ref="S4:S17">O4/R4</f>
        <v>14.919989145058707</v>
      </c>
    </row>
    <row r="5" spans="2:19" ht="12.75">
      <c r="B5">
        <v>1953</v>
      </c>
      <c r="C5" s="24">
        <v>17618.088657534245</v>
      </c>
      <c r="D5" s="20">
        <v>1660.2438904109588</v>
      </c>
      <c r="E5" s="20">
        <v>19278.332547945203</v>
      </c>
      <c r="F5" s="83">
        <v>0.00842933762402789</v>
      </c>
      <c r="G5" s="4">
        <v>120.69701737098761</v>
      </c>
      <c r="H5">
        <v>431</v>
      </c>
      <c r="I5" s="20">
        <f t="shared" si="0"/>
        <v>44.72930985602135</v>
      </c>
      <c r="J5" s="20"/>
      <c r="L5">
        <v>1953</v>
      </c>
      <c r="M5" s="96">
        <f t="shared" si="1"/>
        <v>18817.497534246577</v>
      </c>
      <c r="N5" s="63">
        <f t="shared" si="2"/>
        <v>1773.270410958904</v>
      </c>
      <c r="O5" s="63">
        <f t="shared" si="3"/>
        <v>20590.76794520548</v>
      </c>
      <c r="P5" s="93">
        <f t="shared" si="4"/>
        <v>0.008429337624027892</v>
      </c>
      <c r="Q5" s="63">
        <f t="shared" si="5"/>
        <v>128.91386068705054</v>
      </c>
      <c r="R5">
        <v>431</v>
      </c>
      <c r="S5" s="63">
        <f t="shared" si="6"/>
        <v>47.774403585163526</v>
      </c>
    </row>
    <row r="6" spans="2:19" ht="12.75">
      <c r="B6">
        <v>1954</v>
      </c>
      <c r="C6" s="24">
        <v>5020.478873239437</v>
      </c>
      <c r="D6" s="20">
        <v>1571.0218309859158</v>
      </c>
      <c r="E6" s="20">
        <v>6591.500704225352</v>
      </c>
      <c r="F6" s="83">
        <v>0.00288126159554731</v>
      </c>
      <c r="G6" s="4">
        <v>40.55690412829647</v>
      </c>
      <c r="H6">
        <v>627</v>
      </c>
      <c r="I6" s="20">
        <f t="shared" si="0"/>
        <v>10.512760293820339</v>
      </c>
      <c r="J6" s="20"/>
      <c r="L6">
        <v>1954</v>
      </c>
      <c r="M6" s="96">
        <f t="shared" si="1"/>
        <v>5362.264355362948</v>
      </c>
      <c r="N6" s="63">
        <f t="shared" si="2"/>
        <v>1677.9742686890577</v>
      </c>
      <c r="O6" s="63">
        <f t="shared" si="3"/>
        <v>7040.2386240520045</v>
      </c>
      <c r="P6" s="93">
        <f t="shared" si="4"/>
        <v>0.0028812615955473094</v>
      </c>
      <c r="Q6" s="63">
        <f t="shared" si="5"/>
        <v>43.31794772212851</v>
      </c>
      <c r="R6">
        <v>627</v>
      </c>
      <c r="S6" s="63">
        <f t="shared" si="6"/>
        <v>11.228450756063802</v>
      </c>
    </row>
    <row r="7" spans="2:19" ht="12.75">
      <c r="B7">
        <v>1955</v>
      </c>
      <c r="C7" s="24">
        <v>4784.376315789474</v>
      </c>
      <c r="D7" s="20">
        <v>1612.825939849624</v>
      </c>
      <c r="E7" s="20">
        <v>6397.202255639098</v>
      </c>
      <c r="F7" s="83">
        <v>0.002696908261530664</v>
      </c>
      <c r="G7" s="4">
        <v>38.694825751639996</v>
      </c>
      <c r="H7">
        <v>994</v>
      </c>
      <c r="I7" s="20">
        <f t="shared" si="0"/>
        <v>6.435817158590642</v>
      </c>
      <c r="J7" s="20"/>
      <c r="L7">
        <v>1955</v>
      </c>
      <c r="M7" s="96">
        <f t="shared" si="1"/>
        <v>5110.088345864661</v>
      </c>
      <c r="N7" s="63">
        <f t="shared" si="2"/>
        <v>1722.62432867884</v>
      </c>
      <c r="O7" s="63">
        <f t="shared" si="3"/>
        <v>6832.7126745435025</v>
      </c>
      <c r="P7" s="93">
        <f t="shared" si="4"/>
        <v>0.0026969082615306643</v>
      </c>
      <c r="Q7" s="63">
        <f t="shared" si="5"/>
        <v>41.329102283646584</v>
      </c>
      <c r="R7">
        <v>994</v>
      </c>
      <c r="S7" s="63">
        <f t="shared" si="6"/>
        <v>6.873956413021633</v>
      </c>
    </row>
    <row r="8" spans="2:19" ht="12.75">
      <c r="B8">
        <v>1956</v>
      </c>
      <c r="C8" s="24">
        <v>5155.457142857143</v>
      </c>
      <c r="D8" s="20">
        <v>1758.9</v>
      </c>
      <c r="E8" s="20">
        <v>6914.357142857143</v>
      </c>
      <c r="F8" s="83">
        <v>0.002763342696629214</v>
      </c>
      <c r="G8" s="4">
        <v>41.126477173237035</v>
      </c>
      <c r="H8">
        <v>1561</v>
      </c>
      <c r="I8" s="20">
        <f t="shared" si="0"/>
        <v>4.429440834629816</v>
      </c>
      <c r="J8" s="20"/>
      <c r="L8">
        <v>1956</v>
      </c>
      <c r="M8" s="96">
        <f t="shared" si="1"/>
        <v>5506.431711145997</v>
      </c>
      <c r="N8" s="63">
        <f t="shared" si="2"/>
        <v>1878.6428571428573</v>
      </c>
      <c r="O8" s="63">
        <f t="shared" si="3"/>
        <v>7385.074568288855</v>
      </c>
      <c r="P8" s="93">
        <f t="shared" si="4"/>
        <v>0.002763342696629214</v>
      </c>
      <c r="Q8" s="63">
        <f t="shared" si="5"/>
        <v>43.92629631073427</v>
      </c>
      <c r="R8">
        <v>1561</v>
      </c>
      <c r="S8" s="63">
        <f t="shared" si="6"/>
        <v>4.730989473599522</v>
      </c>
    </row>
    <row r="9" spans="2:19" ht="12.75">
      <c r="B9">
        <v>1957</v>
      </c>
      <c r="C9" s="24">
        <v>5900.737367624811</v>
      </c>
      <c r="D9" s="20">
        <v>2176.5107413010587</v>
      </c>
      <c r="E9" s="20">
        <v>8077.24810892587</v>
      </c>
      <c r="F9" s="83">
        <v>0.0031778814123917384</v>
      </c>
      <c r="G9" s="4">
        <v>47.256381843132715</v>
      </c>
      <c r="H9">
        <v>1826</v>
      </c>
      <c r="I9" s="20">
        <f t="shared" si="0"/>
        <v>4.423465558009786</v>
      </c>
      <c r="J9" s="20"/>
      <c r="L9">
        <v>1957</v>
      </c>
      <c r="M9" s="96">
        <f t="shared" si="1"/>
        <v>6302.449319213314</v>
      </c>
      <c r="N9" s="63">
        <f t="shared" si="2"/>
        <v>2324.683812405446</v>
      </c>
      <c r="O9" s="63">
        <f t="shared" si="3"/>
        <v>8627.133131618759</v>
      </c>
      <c r="P9" s="93">
        <f t="shared" si="4"/>
        <v>0.0031778814123917384</v>
      </c>
      <c r="Q9" s="63">
        <f t="shared" si="5"/>
        <v>50.47351424413934</v>
      </c>
      <c r="R9">
        <v>1826</v>
      </c>
      <c r="S9" s="63">
        <f t="shared" si="6"/>
        <v>4.72460741052506</v>
      </c>
    </row>
    <row r="10" spans="2:19" ht="12.75">
      <c r="B10">
        <v>1958</v>
      </c>
      <c r="C10" s="24">
        <v>6475.832599118942</v>
      </c>
      <c r="D10" s="20">
        <v>2639.0935389133624</v>
      </c>
      <c r="E10" s="20">
        <v>9114.926138032306</v>
      </c>
      <c r="F10" s="83">
        <v>0.003612812160694897</v>
      </c>
      <c r="G10" s="4">
        <v>52.4679478568348</v>
      </c>
      <c r="H10">
        <v>3378</v>
      </c>
      <c r="I10" s="20">
        <f t="shared" si="0"/>
        <v>2.698320348736621</v>
      </c>
      <c r="J10" s="20"/>
      <c r="L10">
        <v>1958</v>
      </c>
      <c r="M10" s="96">
        <f t="shared" si="1"/>
        <v>6916.69603524229</v>
      </c>
      <c r="N10" s="63">
        <f t="shared" si="2"/>
        <v>2818.7584434654914</v>
      </c>
      <c r="O10" s="63">
        <f t="shared" si="3"/>
        <v>9735.454478707785</v>
      </c>
      <c r="P10" s="93">
        <f t="shared" si="4"/>
        <v>0.0036128121606948975</v>
      </c>
      <c r="Q10" s="63">
        <f t="shared" si="5"/>
        <v>56.03987462060753</v>
      </c>
      <c r="R10">
        <v>3378</v>
      </c>
      <c r="S10" s="63">
        <f t="shared" si="6"/>
        <v>2.8820173116364076</v>
      </c>
    </row>
    <row r="11" spans="2:19" ht="12.75">
      <c r="B11">
        <v>1959</v>
      </c>
      <c r="C11" s="24">
        <v>7137.088337349398</v>
      </c>
      <c r="D11" s="20">
        <v>2814.162939759037</v>
      </c>
      <c r="E11" s="20">
        <v>9951.251277108433</v>
      </c>
      <c r="F11" s="83">
        <v>0.0037534079348931835</v>
      </c>
      <c r="G11" s="4">
        <v>56.37354040408704</v>
      </c>
      <c r="H11" s="18">
        <v>5646</v>
      </c>
      <c r="I11" s="20">
        <f t="shared" si="0"/>
        <v>1.7625312215920002</v>
      </c>
      <c r="J11" s="20"/>
      <c r="L11">
        <v>1959</v>
      </c>
      <c r="M11" s="96">
        <f t="shared" si="1"/>
        <v>7622.968915662651</v>
      </c>
      <c r="N11" s="63">
        <f t="shared" si="2"/>
        <v>3005.7462650602415</v>
      </c>
      <c r="O11" s="63">
        <f t="shared" si="3"/>
        <v>10628.715180722891</v>
      </c>
      <c r="P11" s="93">
        <f t="shared" si="4"/>
        <v>0.0037534079348931835</v>
      </c>
      <c r="Q11" s="63">
        <f t="shared" si="5"/>
        <v>60.21135312524439</v>
      </c>
      <c r="R11" s="18">
        <v>5646</v>
      </c>
      <c r="S11" s="63">
        <f t="shared" si="6"/>
        <v>1.8825212859941358</v>
      </c>
    </row>
    <row r="12" spans="2:19" ht="12.75">
      <c r="B12">
        <v>1960</v>
      </c>
      <c r="C12" s="24">
        <v>7304.764999999999</v>
      </c>
      <c r="D12" s="20">
        <v>2813.707</v>
      </c>
      <c r="E12" s="20">
        <v>10118.472</v>
      </c>
      <c r="F12" s="83">
        <v>0.0036655725043444687</v>
      </c>
      <c r="G12" s="4">
        <v>56.42590256390452</v>
      </c>
      <c r="H12">
        <v>4966</v>
      </c>
      <c r="I12" s="20">
        <f t="shared" si="0"/>
        <v>2.0375497382198953</v>
      </c>
      <c r="J12" s="20"/>
      <c r="L12">
        <v>1960</v>
      </c>
      <c r="M12" s="96">
        <f t="shared" si="1"/>
        <v>7802.060714285714</v>
      </c>
      <c r="N12" s="63">
        <f t="shared" si="2"/>
        <v>3005.259285714286</v>
      </c>
      <c r="O12" s="63">
        <f t="shared" si="3"/>
        <v>10807.32</v>
      </c>
      <c r="P12" s="93">
        <f t="shared" si="4"/>
        <v>0.0036655725043444683</v>
      </c>
      <c r="Q12" s="63">
        <f t="shared" si="5"/>
        <v>60.26728000995967</v>
      </c>
      <c r="R12">
        <v>4966</v>
      </c>
      <c r="S12" s="63">
        <f t="shared" si="6"/>
        <v>2.176262585581957</v>
      </c>
    </row>
    <row r="13" spans="2:19" ht="12.75">
      <c r="B13">
        <v>1961</v>
      </c>
      <c r="C13" s="24">
        <v>6680.066478873239</v>
      </c>
      <c r="D13" s="20">
        <v>2853.9522535211267</v>
      </c>
      <c r="E13" s="20">
        <v>9534.018732394366</v>
      </c>
      <c r="F13" s="83">
        <v>0.003418048229088169</v>
      </c>
      <c r="G13" s="4">
        <v>52.46512803705437</v>
      </c>
      <c r="H13">
        <v>3692</v>
      </c>
      <c r="I13" s="20">
        <f t="shared" si="0"/>
        <v>2.582345268795874</v>
      </c>
      <c r="J13" s="20"/>
      <c r="L13">
        <v>1961</v>
      </c>
      <c r="M13" s="96">
        <f t="shared" si="1"/>
        <v>7134.833802816902</v>
      </c>
      <c r="N13" s="63">
        <f t="shared" si="2"/>
        <v>3048.2443661971834</v>
      </c>
      <c r="O13" s="63">
        <f t="shared" si="3"/>
        <v>10183.078169014085</v>
      </c>
      <c r="P13" s="93">
        <f t="shared" si="4"/>
        <v>0.003418048229088169</v>
      </c>
      <c r="Q13" s="63">
        <f t="shared" si="5"/>
        <v>56.03686283239389</v>
      </c>
      <c r="R13">
        <v>3692</v>
      </c>
      <c r="S13" s="63">
        <f t="shared" si="6"/>
        <v>2.7581468496787878</v>
      </c>
    </row>
    <row r="14" spans="2:19" ht="12.75">
      <c r="B14">
        <v>1962</v>
      </c>
      <c r="C14" s="24">
        <v>5620.922980501393</v>
      </c>
      <c r="D14" s="20">
        <v>3901.960863509749</v>
      </c>
      <c r="E14" s="20">
        <v>9522.883844011141</v>
      </c>
      <c r="F14" s="83">
        <v>0.003228682170542635</v>
      </c>
      <c r="G14" s="4">
        <v>51.72136816539115</v>
      </c>
      <c r="H14">
        <v>3261</v>
      </c>
      <c r="I14" s="20">
        <f t="shared" si="0"/>
        <v>2.920234236127305</v>
      </c>
      <c r="J14" s="20"/>
      <c r="L14">
        <v>1962</v>
      </c>
      <c r="M14" s="96">
        <f t="shared" si="1"/>
        <v>6003.5856545961005</v>
      </c>
      <c r="N14" s="63">
        <f t="shared" si="2"/>
        <v>4167.599582172701</v>
      </c>
      <c r="O14" s="63">
        <f t="shared" si="3"/>
        <v>10171.1852367688</v>
      </c>
      <c r="P14" s="93">
        <f t="shared" si="4"/>
        <v>0.0032286821705426348</v>
      </c>
      <c r="Q14" s="63">
        <f t="shared" si="5"/>
        <v>55.24246908042984</v>
      </c>
      <c r="R14">
        <v>3261</v>
      </c>
      <c r="S14" s="63">
        <f t="shared" si="6"/>
        <v>3.1190387110606563</v>
      </c>
    </row>
    <row r="15" spans="2:19" ht="12.75">
      <c r="B15">
        <v>1963</v>
      </c>
      <c r="C15" s="24">
        <v>5476.923246217331</v>
      </c>
      <c r="D15" s="20">
        <v>3955.270563961486</v>
      </c>
      <c r="E15" s="20">
        <v>9432.193810178816</v>
      </c>
      <c r="F15" s="83">
        <v>0.003069817938867546</v>
      </c>
      <c r="G15" s="4">
        <v>50.57020140471084</v>
      </c>
      <c r="H15">
        <v>2072</v>
      </c>
      <c r="I15" s="20">
        <f t="shared" si="0"/>
        <v>4.552217089854641</v>
      </c>
      <c r="J15" s="20"/>
      <c r="L15">
        <v>1963</v>
      </c>
      <c r="M15" s="96">
        <f t="shared" si="1"/>
        <v>5849.7826685006885</v>
      </c>
      <c r="N15" s="63">
        <f t="shared" si="2"/>
        <v>4224.5385144429165</v>
      </c>
      <c r="O15" s="63">
        <f t="shared" si="3"/>
        <v>10074.321182943604</v>
      </c>
      <c r="P15" s="93">
        <f t="shared" si="4"/>
        <v>0.0030698179388675456</v>
      </c>
      <c r="Q15" s="63">
        <f t="shared" si="5"/>
        <v>54.012932886028594</v>
      </c>
      <c r="R15">
        <v>2072</v>
      </c>
      <c r="S15" s="63">
        <f t="shared" si="6"/>
        <v>4.86212412304228</v>
      </c>
    </row>
    <row r="16" spans="2:19" ht="12.75">
      <c r="B16">
        <v>1964</v>
      </c>
      <c r="C16" s="24">
        <v>4192.1766198459445</v>
      </c>
      <c r="D16" s="20">
        <v>4384.389895786135</v>
      </c>
      <c r="E16" s="20">
        <v>8576.56651563208</v>
      </c>
      <c r="F16" s="83">
        <v>0.002640693316677077</v>
      </c>
      <c r="G16" s="4">
        <v>45.39914391547268</v>
      </c>
      <c r="H16">
        <v>1597</v>
      </c>
      <c r="I16" s="20">
        <f t="shared" si="0"/>
        <v>5.370423616551083</v>
      </c>
      <c r="J16" s="20"/>
      <c r="L16">
        <v>1964</v>
      </c>
      <c r="M16" s="96">
        <f t="shared" si="1"/>
        <v>4477.572723153602</v>
      </c>
      <c r="N16" s="63">
        <f t="shared" si="2"/>
        <v>4682.871545083824</v>
      </c>
      <c r="O16" s="63">
        <f t="shared" si="3"/>
        <v>9160.444268237427</v>
      </c>
      <c r="P16" s="93">
        <f t="shared" si="4"/>
        <v>0.0026406933166770773</v>
      </c>
      <c r="Q16" s="63">
        <f t="shared" si="5"/>
        <v>48.48983878401464</v>
      </c>
      <c r="R16">
        <v>1597</v>
      </c>
      <c r="S16" s="63">
        <f t="shared" si="6"/>
        <v>5.736032729015295</v>
      </c>
    </row>
    <row r="17" spans="2:19" ht="12.75">
      <c r="B17">
        <v>1965</v>
      </c>
      <c r="C17" s="24">
        <v>3467.087839643652</v>
      </c>
      <c r="D17" s="20">
        <v>4125.206325167038</v>
      </c>
      <c r="E17" s="20">
        <v>7592.29416481069</v>
      </c>
      <c r="F17" s="83">
        <v>0.0022162712851113374</v>
      </c>
      <c r="G17" s="4">
        <v>39.6852793092786</v>
      </c>
      <c r="H17">
        <v>926</v>
      </c>
      <c r="I17" s="20">
        <f t="shared" si="0"/>
        <v>8.199021776253444</v>
      </c>
      <c r="J17" s="20"/>
      <c r="L17">
        <v>1965</v>
      </c>
      <c r="M17" s="96">
        <f t="shared" si="1"/>
        <v>3703.1211581291755</v>
      </c>
      <c r="N17" s="63">
        <f t="shared" si="2"/>
        <v>4406.043207126949</v>
      </c>
      <c r="O17" s="63">
        <f t="shared" si="3"/>
        <v>8109.164365256124</v>
      </c>
      <c r="P17" s="93">
        <f t="shared" si="4"/>
        <v>0.002216271285111337</v>
      </c>
      <c r="Q17" s="63">
        <f t="shared" si="5"/>
        <v>42.3869841992697</v>
      </c>
      <c r="R17">
        <v>926</v>
      </c>
      <c r="S17" s="63">
        <f t="shared" si="6"/>
        <v>8.757196938721517</v>
      </c>
    </row>
    <row r="18" spans="2:19" ht="40.5" customHeight="1">
      <c r="B18" s="89" t="s">
        <v>189</v>
      </c>
      <c r="C18" s="73">
        <v>96972.63721404516</v>
      </c>
      <c r="D18" s="73">
        <v>39821.9938021549</v>
      </c>
      <c r="E18" s="73">
        <v>136794.63101620006</v>
      </c>
      <c r="F18" s="38"/>
      <c r="G18" s="82">
        <v>794.6719929645002</v>
      </c>
      <c r="H18" s="46">
        <f>SUM(H3:H17)</f>
        <v>31613</v>
      </c>
      <c r="I18" s="20"/>
      <c r="J18" s="20"/>
      <c r="L18" t="s">
        <v>222</v>
      </c>
      <c r="M18" s="63">
        <f>SUM(M3:M17)</f>
        <v>102549.51948629526</v>
      </c>
      <c r="N18" s="63">
        <f>SUM(N3:N17)</f>
        <v>42533.0059773753</v>
      </c>
      <c r="O18" s="63">
        <f>SUM(O3:O17)</f>
        <v>146107.37191089714</v>
      </c>
      <c r="P18" s="95" t="s">
        <v>244</v>
      </c>
      <c r="Q18" s="63">
        <f>SUM(Q3:Q17)</f>
        <v>848.7718820593764</v>
      </c>
      <c r="R18" s="94">
        <f>SUM(R3:R17)</f>
        <v>31613</v>
      </c>
      <c r="S18" s="97" t="s">
        <v>244</v>
      </c>
    </row>
    <row r="19" spans="2:19" ht="38.25">
      <c r="B19" s="89" t="s">
        <v>200</v>
      </c>
      <c r="C19" s="73">
        <v>6464.842480936344</v>
      </c>
      <c r="D19" s="73">
        <v>2654.7995868103267</v>
      </c>
      <c r="E19" s="73">
        <v>9119.64206774667</v>
      </c>
      <c r="F19" s="85" t="s">
        <v>208</v>
      </c>
      <c r="G19" s="82">
        <v>52.978132864300015</v>
      </c>
      <c r="H19" s="88">
        <f>AVERAGE(H3:H17)</f>
        <v>2107.5333333333333</v>
      </c>
      <c r="I19" s="73">
        <f>AVERAGE(I3:I17)</f>
        <v>10.24781767740316</v>
      </c>
      <c r="J19" s="73"/>
      <c r="L19" t="s">
        <v>223</v>
      </c>
      <c r="M19" s="63">
        <f aca="true" t="shared" si="7" ref="M19:S19">AVERAGE(M3:M17)</f>
        <v>6836.634632419684</v>
      </c>
      <c r="N19" s="63">
        <f t="shared" si="7"/>
        <v>2835.53373182502</v>
      </c>
      <c r="O19" s="63">
        <f t="shared" si="7"/>
        <v>9740.491460726476</v>
      </c>
      <c r="P19" s="91">
        <f t="shared" si="7"/>
        <v>0.0035321809188872386</v>
      </c>
      <c r="Q19" s="63">
        <f t="shared" si="7"/>
        <v>56.58479213729176</v>
      </c>
      <c r="R19" s="94">
        <f t="shared" si="7"/>
        <v>2107.5333333333333</v>
      </c>
      <c r="S19" s="63">
        <f t="shared" si="7"/>
        <v>10.945471306473225</v>
      </c>
    </row>
    <row r="23" spans="2:13" ht="12.75">
      <c r="B23" s="33" t="s">
        <v>50</v>
      </c>
      <c r="D23" t="s">
        <v>236</v>
      </c>
      <c r="E23" t="s">
        <v>237</v>
      </c>
      <c r="G23" t="s">
        <v>238</v>
      </c>
      <c r="M23" t="s">
        <v>239</v>
      </c>
    </row>
    <row r="24" spans="1:13" ht="12.75">
      <c r="A24">
        <v>1951</v>
      </c>
      <c r="B24" s="33">
        <v>154125536</v>
      </c>
      <c r="D24">
        <v>2082.690539756239</v>
      </c>
      <c r="E24">
        <f>(D24/1.1193)*1.1955</f>
        <v>2224.476494486361</v>
      </c>
      <c r="G24">
        <f>E24*1000</f>
        <v>2224476.494486361</v>
      </c>
      <c r="M24">
        <f>O3*1000000</f>
        <v>11315966047.59141</v>
      </c>
    </row>
    <row r="25" spans="1:13" ht="12.75">
      <c r="A25">
        <v>1952</v>
      </c>
      <c r="B25" s="33">
        <v>156925274</v>
      </c>
      <c r="D25">
        <v>2177.38828125</v>
      </c>
      <c r="E25">
        <f aca="true" t="shared" si="8" ref="E25:E38">(D25/1.1193)*1.1955</f>
        <v>2325.6210937500005</v>
      </c>
      <c r="G25">
        <f aca="true" t="shared" si="9" ref="G25:G38">E25*1000</f>
        <v>2325621.0937500005</v>
      </c>
      <c r="M25">
        <f aca="true" t="shared" si="10" ref="M25:M38">O4*1000000</f>
        <v>5445796037.946428</v>
      </c>
    </row>
    <row r="26" spans="1:13" ht="12.75">
      <c r="A26">
        <v>1953</v>
      </c>
      <c r="B26" s="33">
        <v>159725012</v>
      </c>
      <c r="D26">
        <v>2287.0518904109585</v>
      </c>
      <c r="E26">
        <f t="shared" si="8"/>
        <v>2442.7504109589036</v>
      </c>
      <c r="G26">
        <f t="shared" si="9"/>
        <v>2442750.4109589034</v>
      </c>
      <c r="M26">
        <f t="shared" si="10"/>
        <v>20590767945.20548</v>
      </c>
    </row>
    <row r="27" spans="1:13" ht="12.75">
      <c r="A27">
        <v>1954</v>
      </c>
      <c r="B27" s="33">
        <v>162524750</v>
      </c>
      <c r="D27">
        <v>2287.71338028169</v>
      </c>
      <c r="E27">
        <f t="shared" si="8"/>
        <v>2443.4569339111595</v>
      </c>
      <c r="G27">
        <f t="shared" si="9"/>
        <v>2443456.9339111596</v>
      </c>
      <c r="M27">
        <f t="shared" si="10"/>
        <v>7040238624.052005</v>
      </c>
    </row>
    <row r="28" spans="1:13" ht="12.75">
      <c r="A28">
        <v>1955</v>
      </c>
      <c r="B28" s="33">
        <v>165324488</v>
      </c>
      <c r="D28">
        <v>2372.05037593985</v>
      </c>
      <c r="E28">
        <f t="shared" si="8"/>
        <v>2533.5354457572503</v>
      </c>
      <c r="G28">
        <f t="shared" si="9"/>
        <v>2533535.4457572503</v>
      </c>
      <c r="M28">
        <f t="shared" si="10"/>
        <v>6832712674.543503</v>
      </c>
    </row>
    <row r="29" spans="1:13" ht="12.75">
      <c r="A29">
        <v>1956</v>
      </c>
      <c r="B29" s="33">
        <v>168124226</v>
      </c>
      <c r="D29">
        <v>2502.1714285714284</v>
      </c>
      <c r="E29">
        <f t="shared" si="8"/>
        <v>2672.5149136577706</v>
      </c>
      <c r="G29">
        <f t="shared" si="9"/>
        <v>2672514.9136577705</v>
      </c>
      <c r="M29">
        <f t="shared" si="10"/>
        <v>7385074568.288855</v>
      </c>
    </row>
    <row r="30" spans="1:13" ht="12.75">
      <c r="A30">
        <v>1957</v>
      </c>
      <c r="B30" s="33">
        <v>170923964</v>
      </c>
      <c r="D30">
        <v>2541.708472012103</v>
      </c>
      <c r="E30">
        <f t="shared" si="8"/>
        <v>2714.7435703479578</v>
      </c>
      <c r="G30">
        <f t="shared" si="9"/>
        <v>2714743.570347958</v>
      </c>
      <c r="M30">
        <f t="shared" si="10"/>
        <v>8627133131.61876</v>
      </c>
    </row>
    <row r="31" spans="1:13" ht="12.75">
      <c r="A31">
        <v>1958</v>
      </c>
      <c r="B31" s="33">
        <v>173723702</v>
      </c>
      <c r="D31">
        <v>2522.944933920705</v>
      </c>
      <c r="E31">
        <f t="shared" si="8"/>
        <v>2694.7026431718064</v>
      </c>
      <c r="G31">
        <f t="shared" si="9"/>
        <v>2694702.6431718064</v>
      </c>
      <c r="M31">
        <f t="shared" si="10"/>
        <v>9735454478.707785</v>
      </c>
    </row>
    <row r="32" spans="1:13" ht="12.75">
      <c r="A32">
        <v>1959</v>
      </c>
      <c r="B32" s="32">
        <v>176523440</v>
      </c>
      <c r="D32">
        <v>2651.257590361446</v>
      </c>
      <c r="E32">
        <f t="shared" si="8"/>
        <v>2831.7506024096388</v>
      </c>
      <c r="G32">
        <f t="shared" si="9"/>
        <v>2831750.602409639</v>
      </c>
      <c r="M32">
        <f t="shared" si="10"/>
        <v>10628715180.72289</v>
      </c>
    </row>
    <row r="33" spans="1:13" ht="12.75">
      <c r="A33">
        <v>1960</v>
      </c>
      <c r="B33" s="33">
        <v>179323175</v>
      </c>
      <c r="D33">
        <v>2760.4069999999997</v>
      </c>
      <c r="E33">
        <f t="shared" si="8"/>
        <v>2948.3307142857143</v>
      </c>
      <c r="G33">
        <f t="shared" si="9"/>
        <v>2948330.714285714</v>
      </c>
      <c r="M33">
        <f t="shared" si="10"/>
        <v>10807320000</v>
      </c>
    </row>
    <row r="34" spans="1:13" ht="12.75">
      <c r="A34">
        <v>1961</v>
      </c>
      <c r="B34" s="33">
        <v>181721061</v>
      </c>
      <c r="D34">
        <v>2789.31661971831</v>
      </c>
      <c r="E34">
        <f t="shared" si="8"/>
        <v>2979.2084507042255</v>
      </c>
      <c r="G34">
        <f t="shared" si="9"/>
        <v>2979208.4507042253</v>
      </c>
      <c r="M34">
        <f t="shared" si="10"/>
        <v>10183078169.014084</v>
      </c>
    </row>
    <row r="35" spans="1:13" ht="12.75">
      <c r="A35">
        <v>1962</v>
      </c>
      <c r="B35" s="33">
        <v>184118947</v>
      </c>
      <c r="D35">
        <v>2949.4646239554318</v>
      </c>
      <c r="E35">
        <f t="shared" si="8"/>
        <v>3150.2590529247914</v>
      </c>
      <c r="G35">
        <f t="shared" si="9"/>
        <v>3150259.0529247914</v>
      </c>
      <c r="M35">
        <f t="shared" si="10"/>
        <v>10171185236.7688</v>
      </c>
    </row>
    <row r="36" spans="1:13" ht="12.75">
      <c r="A36">
        <v>1963</v>
      </c>
      <c r="B36" s="33">
        <v>186516833</v>
      </c>
      <c r="D36">
        <v>3072.558046767538</v>
      </c>
      <c r="E36">
        <f t="shared" si="8"/>
        <v>3281.7324621733155</v>
      </c>
      <c r="G36">
        <f t="shared" si="9"/>
        <v>3281732.4621733157</v>
      </c>
      <c r="M36">
        <f t="shared" si="10"/>
        <v>10074321182.943604</v>
      </c>
    </row>
    <row r="37" spans="1:13" ht="12.75">
      <c r="A37">
        <v>1964</v>
      </c>
      <c r="B37" s="33">
        <v>188914719</v>
      </c>
      <c r="D37">
        <v>3247.846488445854</v>
      </c>
      <c r="E37">
        <f t="shared" si="8"/>
        <v>3468.954236520163</v>
      </c>
      <c r="G37">
        <f t="shared" si="9"/>
        <v>3468954.236520163</v>
      </c>
      <c r="M37">
        <f t="shared" si="10"/>
        <v>9160444268.237427</v>
      </c>
    </row>
    <row r="38" spans="1:13" ht="12.75">
      <c r="A38">
        <v>1965</v>
      </c>
      <c r="B38">
        <v>191312605</v>
      </c>
      <c r="D38">
        <v>3425.7061469933183</v>
      </c>
      <c r="E38">
        <f t="shared" si="8"/>
        <v>3658.9222717149223</v>
      </c>
      <c r="G38">
        <f t="shared" si="9"/>
        <v>3658922.2717149225</v>
      </c>
      <c r="M38">
        <f t="shared" si="10"/>
        <v>8109164365.2561245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9"/>
  <sheetViews>
    <sheetView workbookViewId="0" topLeftCell="A1">
      <selection activeCell="F23" sqref="F23"/>
    </sheetView>
  </sheetViews>
  <sheetFormatPr defaultColWidth="9.140625" defaultRowHeight="12.75"/>
  <cols>
    <col min="1" max="1" width="15.57421875" style="0" customWidth="1"/>
    <col min="2" max="2" width="12.00390625" style="0" bestFit="1" customWidth="1"/>
    <col min="8" max="8" width="19.7109375" style="0" customWidth="1"/>
  </cols>
  <sheetData>
    <row r="1" spans="1:4" ht="12.75">
      <c r="A1" t="s">
        <v>101</v>
      </c>
      <c r="B1" t="s">
        <v>218</v>
      </c>
      <c r="C1" t="s">
        <v>219</v>
      </c>
      <c r="D1" t="s">
        <v>220</v>
      </c>
    </row>
    <row r="2" spans="1:4" ht="12.75">
      <c r="A2">
        <v>1951</v>
      </c>
      <c r="B2">
        <v>40</v>
      </c>
      <c r="C2">
        <f>B2/0.7125</f>
        <v>56.14035087719298</v>
      </c>
      <c r="D2">
        <f>C2*1.1193</f>
        <v>62.8378947368421</v>
      </c>
    </row>
    <row r="3" spans="1:4" ht="12.75">
      <c r="A3">
        <v>1952</v>
      </c>
      <c r="B3">
        <v>58</v>
      </c>
      <c r="C3">
        <f aca="true" t="shared" si="0" ref="C3:C16">B3/0.7125</f>
        <v>81.40350877192982</v>
      </c>
      <c r="D3">
        <f aca="true" t="shared" si="1" ref="D3:D16">C3*1.1193</f>
        <v>91.11494736842104</v>
      </c>
    </row>
    <row r="4" spans="1:4" ht="12.75">
      <c r="A4">
        <v>1953</v>
      </c>
      <c r="B4">
        <v>50</v>
      </c>
      <c r="C4">
        <f t="shared" si="0"/>
        <v>70.17543859649122</v>
      </c>
      <c r="D4">
        <f t="shared" si="1"/>
        <v>78.54736842105262</v>
      </c>
    </row>
    <row r="5" spans="1:4" ht="12.75">
      <c r="A5">
        <v>1954</v>
      </c>
      <c r="B5">
        <v>25</v>
      </c>
      <c r="C5">
        <f t="shared" si="0"/>
        <v>35.08771929824561</v>
      </c>
      <c r="D5">
        <f t="shared" si="1"/>
        <v>39.27368421052631</v>
      </c>
    </row>
    <row r="6" spans="1:4" ht="12.75">
      <c r="A6">
        <v>1955</v>
      </c>
      <c r="B6">
        <v>35</v>
      </c>
      <c r="C6">
        <f t="shared" si="0"/>
        <v>49.122807017543856</v>
      </c>
      <c r="D6">
        <f t="shared" si="1"/>
        <v>54.983157894736834</v>
      </c>
    </row>
    <row r="7" spans="1:4" ht="12.75">
      <c r="A7">
        <v>1956</v>
      </c>
      <c r="B7">
        <v>45</v>
      </c>
      <c r="C7">
        <f t="shared" si="0"/>
        <v>63.1578947368421</v>
      </c>
      <c r="D7">
        <f t="shared" si="1"/>
        <v>70.69263157894736</v>
      </c>
    </row>
    <row r="8" spans="1:4" ht="12.75">
      <c r="A8">
        <v>1957</v>
      </c>
      <c r="B8">
        <v>54</v>
      </c>
      <c r="C8">
        <f t="shared" si="0"/>
        <v>75.78947368421052</v>
      </c>
      <c r="D8">
        <f t="shared" si="1"/>
        <v>84.83115789473683</v>
      </c>
    </row>
    <row r="9" spans="1:4" ht="12.75">
      <c r="A9">
        <v>1958</v>
      </c>
      <c r="B9">
        <v>50</v>
      </c>
      <c r="C9">
        <f t="shared" si="0"/>
        <v>70.17543859649122</v>
      </c>
      <c r="D9">
        <f t="shared" si="1"/>
        <v>78.54736842105262</v>
      </c>
    </row>
    <row r="10" spans="1:4" ht="12.75">
      <c r="A10">
        <v>1959</v>
      </c>
      <c r="B10">
        <v>52</v>
      </c>
      <c r="C10">
        <f t="shared" si="0"/>
        <v>72.98245614035088</v>
      </c>
      <c r="D10">
        <f t="shared" si="1"/>
        <v>81.68926315789473</v>
      </c>
    </row>
    <row r="11" spans="1:4" ht="12.75">
      <c r="A11">
        <v>1960</v>
      </c>
      <c r="B11">
        <v>45</v>
      </c>
      <c r="C11">
        <f t="shared" si="0"/>
        <v>63.1578947368421</v>
      </c>
      <c r="D11">
        <f t="shared" si="1"/>
        <v>70.69263157894736</v>
      </c>
    </row>
    <row r="12" spans="1:4" ht="12.75">
      <c r="A12">
        <v>1961</v>
      </c>
      <c r="B12">
        <v>54</v>
      </c>
      <c r="C12">
        <f t="shared" si="0"/>
        <v>75.78947368421052</v>
      </c>
      <c r="D12">
        <f t="shared" si="1"/>
        <v>84.83115789473683</v>
      </c>
    </row>
    <row r="13" spans="1:4" ht="12.75">
      <c r="A13">
        <v>1962</v>
      </c>
      <c r="B13">
        <v>50</v>
      </c>
      <c r="C13">
        <f t="shared" si="0"/>
        <v>70.17543859649122</v>
      </c>
      <c r="D13">
        <f t="shared" si="1"/>
        <v>78.54736842105262</v>
      </c>
    </row>
    <row r="14" spans="1:4" ht="12.75">
      <c r="A14">
        <v>1963</v>
      </c>
      <c r="B14">
        <v>42</v>
      </c>
      <c r="C14">
        <f t="shared" si="0"/>
        <v>58.94736842105263</v>
      </c>
      <c r="D14">
        <f t="shared" si="1"/>
        <v>65.9797894736842</v>
      </c>
    </row>
    <row r="15" spans="1:4" ht="12.75">
      <c r="A15">
        <v>1964</v>
      </c>
      <c r="B15">
        <v>36</v>
      </c>
      <c r="C15">
        <f t="shared" si="0"/>
        <v>50.526315789473685</v>
      </c>
      <c r="D15">
        <f t="shared" si="1"/>
        <v>56.55410526315789</v>
      </c>
    </row>
    <row r="16" spans="1:4" ht="12.75">
      <c r="A16">
        <v>1965</v>
      </c>
      <c r="B16">
        <v>25</v>
      </c>
      <c r="C16">
        <f t="shared" si="0"/>
        <v>35.08771929824561</v>
      </c>
      <c r="D16">
        <f t="shared" si="1"/>
        <v>39.27368421052631</v>
      </c>
    </row>
    <row r="21" ht="12.75">
      <c r="G21" t="s">
        <v>231</v>
      </c>
    </row>
    <row r="22" spans="1:10" ht="38.25">
      <c r="A22" t="s">
        <v>225</v>
      </c>
      <c r="B22" t="s">
        <v>226</v>
      </c>
      <c r="C22" t="s">
        <v>224</v>
      </c>
      <c r="G22" t="s">
        <v>235</v>
      </c>
      <c r="H22" s="3" t="s">
        <v>232</v>
      </c>
      <c r="I22" s="3" t="s">
        <v>195</v>
      </c>
      <c r="J22" s="3" t="s">
        <v>206</v>
      </c>
    </row>
    <row r="23" spans="1:10" ht="12.75">
      <c r="A23">
        <v>154125536</v>
      </c>
      <c r="B23">
        <f>H23*1000000000</f>
        <v>67115789473.684204</v>
      </c>
      <c r="C23">
        <v>2082.690539756239</v>
      </c>
      <c r="D23">
        <f>(C23/1.1193)*1.1955</f>
        <v>2224.476494486361</v>
      </c>
      <c r="G23">
        <v>1951</v>
      </c>
      <c r="H23" s="4">
        <f>C2*1.1955</f>
        <v>67.1157894736842</v>
      </c>
      <c r="I23" s="83">
        <f>H23/D23</f>
        <v>0.030171498615534465</v>
      </c>
      <c r="J23" s="4">
        <f>B23/A23</f>
        <v>435.4618398451779</v>
      </c>
    </row>
    <row r="24" spans="1:10" ht="12.75">
      <c r="A24">
        <v>156925274</v>
      </c>
      <c r="B24">
        <f aca="true" t="shared" si="2" ref="B24:B37">H24*1000000000</f>
        <v>97317894736.8421</v>
      </c>
      <c r="C24">
        <v>2177.38828125</v>
      </c>
      <c r="D24">
        <f aca="true" t="shared" si="3" ref="D24:D37">(C24/1.1193)*1.1955</f>
        <v>2325.6210937500005</v>
      </c>
      <c r="G24">
        <v>1952</v>
      </c>
      <c r="H24" s="4">
        <f aca="true" t="shared" si="4" ref="H24:H37">C3*1.1955</f>
        <v>97.3178947368421</v>
      </c>
      <c r="I24" s="83">
        <f aca="true" t="shared" si="5" ref="I24:I37">H24/D24</f>
        <v>0.04184598041287958</v>
      </c>
      <c r="J24" s="4">
        <f aca="true" t="shared" si="6" ref="J24:J37">B24/A24</f>
        <v>620.1543719263609</v>
      </c>
    </row>
    <row r="25" spans="1:10" ht="12.75">
      <c r="A25">
        <v>159725012</v>
      </c>
      <c r="B25">
        <f t="shared" si="2"/>
        <v>83894736842.10524</v>
      </c>
      <c r="C25">
        <v>2287.0518904109585</v>
      </c>
      <c r="D25">
        <f t="shared" si="3"/>
        <v>2442.7504109589036</v>
      </c>
      <c r="G25">
        <v>1953</v>
      </c>
      <c r="H25" s="4">
        <f t="shared" si="4"/>
        <v>83.89473684210525</v>
      </c>
      <c r="I25" s="83">
        <f t="shared" si="5"/>
        <v>0.03434437528522298</v>
      </c>
      <c r="J25" s="4">
        <f t="shared" si="6"/>
        <v>525.2448304220834</v>
      </c>
    </row>
    <row r="26" spans="1:10" ht="12.75">
      <c r="A26">
        <v>162524750</v>
      </c>
      <c r="B26">
        <f t="shared" si="2"/>
        <v>41947368421.05262</v>
      </c>
      <c r="C26">
        <v>2287.71338028169</v>
      </c>
      <c r="D26">
        <f t="shared" si="3"/>
        <v>2443.4569339111595</v>
      </c>
      <c r="G26">
        <v>1954</v>
      </c>
      <c r="H26" s="4">
        <f t="shared" si="4"/>
        <v>41.94736842105262</v>
      </c>
      <c r="I26" s="83">
        <f t="shared" si="5"/>
        <v>0.017167222322968828</v>
      </c>
      <c r="J26" s="4">
        <f t="shared" si="6"/>
        <v>258.0983414590862</v>
      </c>
    </row>
    <row r="27" spans="1:10" ht="12.75">
      <c r="A27">
        <v>165324488</v>
      </c>
      <c r="B27">
        <f t="shared" si="2"/>
        <v>58726315789.47368</v>
      </c>
      <c r="C27">
        <v>2372.05037593985</v>
      </c>
      <c r="D27">
        <f t="shared" si="3"/>
        <v>2533.5354457572503</v>
      </c>
      <c r="G27">
        <v>1955</v>
      </c>
      <c r="H27" s="4">
        <f t="shared" si="4"/>
        <v>58.72631578947368</v>
      </c>
      <c r="I27" s="83">
        <f t="shared" si="5"/>
        <v>0.023179591147153233</v>
      </c>
      <c r="J27" s="4">
        <f t="shared" si="6"/>
        <v>355.21849485161374</v>
      </c>
    </row>
    <row r="28" spans="1:10" ht="12.75">
      <c r="A28">
        <v>168124226</v>
      </c>
      <c r="B28">
        <f t="shared" si="2"/>
        <v>75505263157.89473</v>
      </c>
      <c r="C28">
        <v>2502.1714285714284</v>
      </c>
      <c r="D28">
        <f t="shared" si="3"/>
        <v>2672.5149136577706</v>
      </c>
      <c r="G28">
        <v>1956</v>
      </c>
      <c r="H28" s="4">
        <f t="shared" si="4"/>
        <v>75.50526315789473</v>
      </c>
      <c r="I28" s="83">
        <f t="shared" si="5"/>
        <v>0.02825251330573625</v>
      </c>
      <c r="J28" s="4">
        <f t="shared" si="6"/>
        <v>449.10400454658287</v>
      </c>
    </row>
    <row r="29" spans="1:10" ht="12.75">
      <c r="A29">
        <v>170923964</v>
      </c>
      <c r="B29">
        <f t="shared" si="2"/>
        <v>90606315789.47368</v>
      </c>
      <c r="C29">
        <v>2541.708472012103</v>
      </c>
      <c r="D29">
        <f t="shared" si="3"/>
        <v>2714.7435703479578</v>
      </c>
      <c r="G29">
        <v>1957</v>
      </c>
      <c r="H29" s="4">
        <f t="shared" si="4"/>
        <v>90.60631578947368</v>
      </c>
      <c r="I29" s="83">
        <f t="shared" si="5"/>
        <v>0.0333756443073039</v>
      </c>
      <c r="J29" s="4">
        <f t="shared" si="6"/>
        <v>530.0972062025994</v>
      </c>
    </row>
    <row r="30" spans="1:10" ht="12.75">
      <c r="A30">
        <v>173723702</v>
      </c>
      <c r="B30">
        <f t="shared" si="2"/>
        <v>83894736842.10524</v>
      </c>
      <c r="C30">
        <v>2522.944933920705</v>
      </c>
      <c r="D30">
        <f t="shared" si="3"/>
        <v>2694.7026431718064</v>
      </c>
      <c r="G30">
        <v>1958</v>
      </c>
      <c r="H30" s="4">
        <f t="shared" si="4"/>
        <v>83.89473684210525</v>
      </c>
      <c r="I30" s="83">
        <f t="shared" si="5"/>
        <v>0.031133207611863528</v>
      </c>
      <c r="J30" s="4">
        <f t="shared" si="6"/>
        <v>482.9204989086938</v>
      </c>
    </row>
    <row r="31" spans="1:10" ht="12.75">
      <c r="A31">
        <v>176523440</v>
      </c>
      <c r="B31">
        <f t="shared" si="2"/>
        <v>87250526315.78947</v>
      </c>
      <c r="C31">
        <v>2651.257590361446</v>
      </c>
      <c r="D31">
        <f t="shared" si="3"/>
        <v>2831.7506024096388</v>
      </c>
      <c r="G31">
        <v>1959</v>
      </c>
      <c r="H31" s="4">
        <f t="shared" si="4"/>
        <v>87.25052631578947</v>
      </c>
      <c r="I31" s="83">
        <f t="shared" si="5"/>
        <v>0.03081151505416644</v>
      </c>
      <c r="J31" s="4">
        <f t="shared" si="6"/>
        <v>494.27161806833965</v>
      </c>
    </row>
    <row r="32" spans="1:10" ht="12.75">
      <c r="A32">
        <v>179323175</v>
      </c>
      <c r="B32">
        <f t="shared" si="2"/>
        <v>75505263157.89473</v>
      </c>
      <c r="C32">
        <v>2760.4069999999997</v>
      </c>
      <c r="D32">
        <f t="shared" si="3"/>
        <v>2948.3307142857143</v>
      </c>
      <c r="G32">
        <v>1960</v>
      </c>
      <c r="H32" s="4">
        <f t="shared" si="4"/>
        <v>75.50526315789473</v>
      </c>
      <c r="I32" s="83">
        <f t="shared" si="5"/>
        <v>0.025609495838456925</v>
      </c>
      <c r="J32" s="4">
        <f t="shared" si="6"/>
        <v>421.05691669743595</v>
      </c>
    </row>
    <row r="33" spans="1:10" ht="12.75">
      <c r="A33">
        <v>181721061</v>
      </c>
      <c r="B33">
        <f t="shared" si="2"/>
        <v>90606315789.47368</v>
      </c>
      <c r="C33">
        <v>2789.31661971831</v>
      </c>
      <c r="D33">
        <f t="shared" si="3"/>
        <v>2979.2084507042255</v>
      </c>
      <c r="G33">
        <v>1961</v>
      </c>
      <c r="H33" s="4">
        <f t="shared" si="4"/>
        <v>90.60631578947368</v>
      </c>
      <c r="I33" s="83">
        <f t="shared" si="5"/>
        <v>0.03041288224328719</v>
      </c>
      <c r="J33" s="4">
        <f t="shared" si="6"/>
        <v>498.6010718343411</v>
      </c>
    </row>
    <row r="34" spans="1:10" ht="12.75">
      <c r="A34">
        <v>184118947</v>
      </c>
      <c r="B34">
        <f t="shared" si="2"/>
        <v>83894736842.10524</v>
      </c>
      <c r="C34">
        <v>2949.4646239554318</v>
      </c>
      <c r="D34">
        <f t="shared" si="3"/>
        <v>3150.2590529247914</v>
      </c>
      <c r="G34">
        <v>1962</v>
      </c>
      <c r="H34" s="4">
        <f t="shared" si="4"/>
        <v>83.89473684210525</v>
      </c>
      <c r="I34" s="83">
        <f t="shared" si="5"/>
        <v>0.02663105967879529</v>
      </c>
      <c r="J34" s="4">
        <f t="shared" si="6"/>
        <v>455.65509801718144</v>
      </c>
    </row>
    <row r="35" spans="1:10" ht="12.75">
      <c r="A35">
        <v>186516833</v>
      </c>
      <c r="B35">
        <f t="shared" si="2"/>
        <v>70471578947.36841</v>
      </c>
      <c r="C35">
        <v>3072.558046767538</v>
      </c>
      <c r="D35">
        <f t="shared" si="3"/>
        <v>3281.7324621733155</v>
      </c>
      <c r="G35">
        <v>1963</v>
      </c>
      <c r="H35" s="4">
        <f t="shared" si="4"/>
        <v>70.47157894736841</v>
      </c>
      <c r="I35" s="83">
        <f t="shared" si="5"/>
        <v>0.0214738951939729</v>
      </c>
      <c r="J35" s="4">
        <f t="shared" si="6"/>
        <v>377.829592181465</v>
      </c>
    </row>
    <row r="36" spans="1:10" ht="12.75">
      <c r="A36">
        <v>188914719</v>
      </c>
      <c r="B36">
        <f t="shared" si="2"/>
        <v>60404210526.315796</v>
      </c>
      <c r="C36">
        <v>3247.846488445854</v>
      </c>
      <c r="D36">
        <f t="shared" si="3"/>
        <v>3468.954236520163</v>
      </c>
      <c r="G36">
        <v>1964</v>
      </c>
      <c r="H36" s="4">
        <f t="shared" si="4"/>
        <v>60.404210526315794</v>
      </c>
      <c r="I36" s="83">
        <f t="shared" si="5"/>
        <v>0.017412801209770214</v>
      </c>
      <c r="J36" s="4">
        <f t="shared" si="6"/>
        <v>319.7432727638115</v>
      </c>
    </row>
    <row r="37" spans="1:10" ht="12.75">
      <c r="A37">
        <v>191312605</v>
      </c>
      <c r="B37">
        <f t="shared" si="2"/>
        <v>41947368421.05262</v>
      </c>
      <c r="C37">
        <v>3425.7061469933183</v>
      </c>
      <c r="D37">
        <f t="shared" si="3"/>
        <v>3658.9222717149223</v>
      </c>
      <c r="G37">
        <v>1965</v>
      </c>
      <c r="H37" s="4">
        <f t="shared" si="4"/>
        <v>41.94736842105262</v>
      </c>
      <c r="I37" s="83">
        <f t="shared" si="5"/>
        <v>0.011464405446741578</v>
      </c>
      <c r="J37" s="4">
        <f t="shared" si="6"/>
        <v>219.26087108088157</v>
      </c>
    </row>
    <row r="38" spans="7:10" ht="12.75">
      <c r="G38" s="46" t="s">
        <v>222</v>
      </c>
      <c r="H38" s="4">
        <f>SUM(H23:H37)</f>
        <v>1109.0884210526315</v>
      </c>
      <c r="I38" s="19"/>
      <c r="J38" s="4"/>
    </row>
    <row r="39" spans="7:10" ht="12.75">
      <c r="G39" s="46" t="s">
        <v>223</v>
      </c>
      <c r="H39" s="4">
        <f>AVERAGE(H23:H37)</f>
        <v>73.93922807017543</v>
      </c>
      <c r="I39" s="91">
        <f>AVERAGE(I23:I37)</f>
        <v>0.026885739178256887</v>
      </c>
      <c r="J39" s="4">
        <f>AVERAGE(J23:J37)</f>
        <v>429.51453525371033</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P44"/>
  <sheetViews>
    <sheetView workbookViewId="0" topLeftCell="A26">
      <selection activeCell="F62" sqref="F62"/>
    </sheetView>
  </sheetViews>
  <sheetFormatPr defaultColWidth="9.140625" defaultRowHeight="12.75"/>
  <cols>
    <col min="2" max="2" width="11.57421875" style="0" bestFit="1" customWidth="1"/>
    <col min="3" max="3" width="11.28125" style="0" bestFit="1" customWidth="1"/>
    <col min="4" max="4" width="14.140625" style="0" bestFit="1" customWidth="1"/>
    <col min="5" max="5" width="10.421875" style="0" bestFit="1" customWidth="1"/>
    <col min="6" max="6" width="11.28125" style="0" bestFit="1" customWidth="1"/>
    <col min="7" max="7" width="10.28125" style="0" bestFit="1" customWidth="1"/>
    <col min="8" max="8" width="11.28125" style="0" bestFit="1" customWidth="1"/>
    <col min="10" max="10" width="11.57421875" style="0" customWidth="1"/>
    <col min="11" max="11" width="10.28125" style="0" bestFit="1" customWidth="1"/>
    <col min="14" max="14" width="11.28125" style="0" bestFit="1" customWidth="1"/>
    <col min="15" max="15" width="8.140625" style="0" customWidth="1"/>
    <col min="16" max="16" width="8.8515625" style="0" customWidth="1"/>
  </cols>
  <sheetData>
    <row r="2" spans="2:10" ht="12.75">
      <c r="B2" t="s">
        <v>263</v>
      </c>
      <c r="J2" t="s">
        <v>264</v>
      </c>
    </row>
    <row r="3" spans="2:16" s="3" customFormat="1" ht="51">
      <c r="B3" s="3" t="s">
        <v>56</v>
      </c>
      <c r="C3" s="3" t="s">
        <v>43</v>
      </c>
      <c r="D3" s="3" t="s">
        <v>227</v>
      </c>
      <c r="E3" s="3" t="s">
        <v>229</v>
      </c>
      <c r="F3" s="3" t="s">
        <v>25</v>
      </c>
      <c r="G3" s="3" t="s">
        <v>228</v>
      </c>
      <c r="H3" s="3" t="s">
        <v>230</v>
      </c>
      <c r="J3" s="3" t="s">
        <v>56</v>
      </c>
      <c r="K3" s="3" t="s">
        <v>43</v>
      </c>
      <c r="L3" s="3" t="s">
        <v>227</v>
      </c>
      <c r="M3" s="3" t="s">
        <v>229</v>
      </c>
      <c r="N3" s="3" t="s">
        <v>25</v>
      </c>
      <c r="O3" s="3" t="s">
        <v>228</v>
      </c>
      <c r="P3" s="3" t="s">
        <v>230</v>
      </c>
    </row>
    <row r="4" spans="2:16" ht="12.75">
      <c r="B4" t="s">
        <v>20</v>
      </c>
      <c r="C4" s="63">
        <v>518.1</v>
      </c>
      <c r="D4" s="90">
        <v>0.017602779386218875</v>
      </c>
      <c r="E4" s="90">
        <v>0.13362285273113297</v>
      </c>
      <c r="F4" s="63">
        <v>13100</v>
      </c>
      <c r="G4" s="63">
        <v>230.59640995946728</v>
      </c>
      <c r="H4" s="63">
        <v>1750.459370777842</v>
      </c>
      <c r="J4" t="s">
        <v>20</v>
      </c>
      <c r="K4" s="63">
        <v>518.1</v>
      </c>
      <c r="L4" s="110">
        <f>D4/20</f>
        <v>0.0008801389693109437</v>
      </c>
      <c r="M4" s="111">
        <f>E4/20</f>
        <v>0.006681142636556649</v>
      </c>
      <c r="N4" s="63">
        <v>13100</v>
      </c>
      <c r="O4" s="63">
        <f>G4/20</f>
        <v>11.529820497973365</v>
      </c>
      <c r="P4" s="63">
        <f>H4/20</f>
        <v>87.5229685388921</v>
      </c>
    </row>
    <row r="5" spans="2:16" ht="12.75">
      <c r="B5" t="s">
        <v>21</v>
      </c>
      <c r="C5" s="63">
        <v>1556</v>
      </c>
      <c r="D5" s="90">
        <v>0.005861182519280205</v>
      </c>
      <c r="E5" s="90">
        <v>0.044492287917737794</v>
      </c>
      <c r="F5" s="63">
        <v>8400</v>
      </c>
      <c r="G5" s="63">
        <v>49.23393316195372</v>
      </c>
      <c r="H5" s="63">
        <v>373.7352185089975</v>
      </c>
      <c r="J5" t="s">
        <v>21</v>
      </c>
      <c r="K5" s="63">
        <v>1556</v>
      </c>
      <c r="L5" s="110">
        <f aca="true" t="shared" si="0" ref="L5:L20">D5/20</f>
        <v>0.00029305912596401025</v>
      </c>
      <c r="M5" s="111">
        <f aca="true" t="shared" si="1" ref="M5:M20">E5/20</f>
        <v>0.00222461439588689</v>
      </c>
      <c r="N5" s="63">
        <v>8400</v>
      </c>
      <c r="O5" s="63">
        <f aca="true" t="shared" si="2" ref="O5:O20">G5/20</f>
        <v>2.461696658097686</v>
      </c>
      <c r="P5" s="63">
        <f aca="true" t="shared" si="3" ref="P5:P20">H5/20</f>
        <v>18.686760925449875</v>
      </c>
    </row>
    <row r="6" spans="2:16" ht="12.75">
      <c r="B6" t="s">
        <v>16</v>
      </c>
      <c r="C6" s="63">
        <v>8859</v>
      </c>
      <c r="D6" s="90">
        <v>0.0010294615645106671</v>
      </c>
      <c r="E6" s="90">
        <v>0.007814651766565076</v>
      </c>
      <c r="F6" s="63">
        <v>6800</v>
      </c>
      <c r="G6" s="63">
        <v>7.000338638672536</v>
      </c>
      <c r="H6" s="63">
        <v>53.139632012642515</v>
      </c>
      <c r="J6" t="s">
        <v>16</v>
      </c>
      <c r="K6" s="63">
        <v>8859</v>
      </c>
      <c r="L6" s="110">
        <f t="shared" si="0"/>
        <v>5.147307822553336E-05</v>
      </c>
      <c r="M6" s="111">
        <f t="shared" si="1"/>
        <v>0.0003907325883282538</v>
      </c>
      <c r="N6" s="63">
        <v>6800</v>
      </c>
      <c r="O6" s="63">
        <f t="shared" si="2"/>
        <v>0.3500169319336268</v>
      </c>
      <c r="P6" s="63">
        <f t="shared" si="3"/>
        <v>2.656981600632126</v>
      </c>
    </row>
    <row r="7" spans="2:16" ht="12.75">
      <c r="B7" t="s">
        <v>22</v>
      </c>
      <c r="C7" s="63">
        <v>303.5</v>
      </c>
      <c r="D7" s="90">
        <v>0.0300494233937397</v>
      </c>
      <c r="E7" s="90">
        <v>0.2281054365733114</v>
      </c>
      <c r="F7" s="63">
        <v>3900</v>
      </c>
      <c r="G7" s="63">
        <v>117.19275123558482</v>
      </c>
      <c r="H7" s="63">
        <v>889.6112026359144</v>
      </c>
      <c r="J7" t="s">
        <v>22</v>
      </c>
      <c r="K7" s="63">
        <v>303.5</v>
      </c>
      <c r="L7" s="110">
        <f t="shared" si="0"/>
        <v>0.001502471169686985</v>
      </c>
      <c r="M7" s="111">
        <f t="shared" si="1"/>
        <v>0.01140527182866557</v>
      </c>
      <c r="N7" s="63">
        <v>3900</v>
      </c>
      <c r="O7" s="63">
        <f t="shared" si="2"/>
        <v>5.859637561779241</v>
      </c>
      <c r="P7" s="63">
        <f t="shared" si="3"/>
        <v>44.48056013179572</v>
      </c>
    </row>
    <row r="8" spans="2:16" ht="12.75">
      <c r="B8" t="s">
        <v>15</v>
      </c>
      <c r="C8" s="63">
        <v>1816</v>
      </c>
      <c r="D8" s="90">
        <v>0.005022026431718061</v>
      </c>
      <c r="E8" s="90">
        <v>0.03812224669603524</v>
      </c>
      <c r="F8" s="63">
        <v>29900</v>
      </c>
      <c r="G8" s="63">
        <v>150.15859030837004</v>
      </c>
      <c r="H8" s="63">
        <v>1139.8551762114537</v>
      </c>
      <c r="J8" t="s">
        <v>15</v>
      </c>
      <c r="K8" s="63">
        <v>1816</v>
      </c>
      <c r="L8" s="110">
        <f t="shared" si="0"/>
        <v>0.0002511013215859031</v>
      </c>
      <c r="M8" s="111">
        <f t="shared" si="1"/>
        <v>0.001906112334801762</v>
      </c>
      <c r="N8" s="63">
        <v>29900</v>
      </c>
      <c r="O8" s="63">
        <f t="shared" si="2"/>
        <v>7.5079295154185015</v>
      </c>
      <c r="P8" s="63">
        <f t="shared" si="3"/>
        <v>56.99275881057268</v>
      </c>
    </row>
    <row r="9" spans="2:16" ht="12.75">
      <c r="B9" t="s">
        <v>23</v>
      </c>
      <c r="C9" s="63">
        <v>2504</v>
      </c>
      <c r="D9" s="90">
        <v>0.003642172523961661</v>
      </c>
      <c r="E9" s="90">
        <v>0.027647763578274764</v>
      </c>
      <c r="F9" s="63">
        <v>30400</v>
      </c>
      <c r="G9" s="63">
        <v>110.7220447284345</v>
      </c>
      <c r="H9" s="63">
        <v>840.4920127795529</v>
      </c>
      <c r="J9" t="s">
        <v>23</v>
      </c>
      <c r="K9" s="63">
        <v>2504</v>
      </c>
      <c r="L9" s="110">
        <f t="shared" si="0"/>
        <v>0.00018210862619808305</v>
      </c>
      <c r="M9" s="111">
        <f t="shared" si="1"/>
        <v>0.0013823881789137382</v>
      </c>
      <c r="N9" s="63">
        <v>30400</v>
      </c>
      <c r="O9" s="63">
        <f t="shared" si="2"/>
        <v>5.5361022364217245</v>
      </c>
      <c r="P9" s="63">
        <f t="shared" si="3"/>
        <v>42.024600638977645</v>
      </c>
    </row>
    <row r="10" spans="2:16" ht="12.75">
      <c r="B10" t="s">
        <v>24</v>
      </c>
      <c r="C10" s="63">
        <v>3611</v>
      </c>
      <c r="D10" s="90">
        <v>0.002525616172805317</v>
      </c>
      <c r="E10" s="90">
        <v>0.019171974522292995</v>
      </c>
      <c r="F10" s="63">
        <v>3300</v>
      </c>
      <c r="G10" s="63">
        <v>8.334533370257546</v>
      </c>
      <c r="H10" s="63">
        <v>63.26751592356688</v>
      </c>
      <c r="J10" t="s">
        <v>24</v>
      </c>
      <c r="K10" s="63">
        <v>3611</v>
      </c>
      <c r="L10" s="110">
        <f t="shared" si="0"/>
        <v>0.00012628080864026585</v>
      </c>
      <c r="M10" s="111">
        <f t="shared" si="1"/>
        <v>0.0009585987261146497</v>
      </c>
      <c r="N10" s="63">
        <v>3300</v>
      </c>
      <c r="O10" s="63">
        <f t="shared" si="2"/>
        <v>0.4167266685128773</v>
      </c>
      <c r="P10" s="63">
        <f t="shared" si="3"/>
        <v>3.163375796178344</v>
      </c>
    </row>
    <row r="11" spans="2:16" ht="12.75">
      <c r="B11" t="s">
        <v>26</v>
      </c>
      <c r="C11" s="63">
        <v>561.6</v>
      </c>
      <c r="D11" s="90">
        <v>0.016239316239316237</v>
      </c>
      <c r="E11" s="90">
        <v>0.12327279202279202</v>
      </c>
      <c r="F11" s="63">
        <v>8300</v>
      </c>
      <c r="G11" s="63">
        <v>134.78632478632477</v>
      </c>
      <c r="H11" s="63">
        <v>1023.1641737891738</v>
      </c>
      <c r="J11" t="s">
        <v>26</v>
      </c>
      <c r="K11" s="63">
        <v>561.6</v>
      </c>
      <c r="L11" s="110">
        <f t="shared" si="0"/>
        <v>0.0008119658119658119</v>
      </c>
      <c r="M11" s="111">
        <f t="shared" si="1"/>
        <v>0.006163639601139601</v>
      </c>
      <c r="N11" s="63">
        <v>8300</v>
      </c>
      <c r="O11" s="63">
        <f t="shared" si="2"/>
        <v>6.7393162393162385</v>
      </c>
      <c r="P11" s="63">
        <f t="shared" si="3"/>
        <v>51.15820868945869</v>
      </c>
    </row>
    <row r="12" spans="2:16" ht="12.75">
      <c r="B12" t="s">
        <v>42</v>
      </c>
      <c r="C12" s="63">
        <v>154.5</v>
      </c>
      <c r="D12" s="90">
        <v>0.05902912621359223</v>
      </c>
      <c r="E12" s="90">
        <v>0.4480906148867314</v>
      </c>
      <c r="F12" s="63">
        <v>24600</v>
      </c>
      <c r="G12" s="63">
        <v>1452.1165048543687</v>
      </c>
      <c r="H12" s="63">
        <v>11023.029126213592</v>
      </c>
      <c r="J12" t="s">
        <v>42</v>
      </c>
      <c r="K12" s="63">
        <v>154.5</v>
      </c>
      <c r="L12" s="110">
        <f t="shared" si="0"/>
        <v>0.0029514563106796112</v>
      </c>
      <c r="M12" s="111">
        <f t="shared" si="1"/>
        <v>0.02240453074433657</v>
      </c>
      <c r="N12" s="63">
        <v>24600</v>
      </c>
      <c r="O12" s="63">
        <f t="shared" si="2"/>
        <v>72.60582524271844</v>
      </c>
      <c r="P12" s="63">
        <f t="shared" si="3"/>
        <v>551.1514563106796</v>
      </c>
    </row>
    <row r="13" spans="2:16" ht="12.75">
      <c r="B13" t="s">
        <v>29</v>
      </c>
      <c r="C13" s="63">
        <v>40</v>
      </c>
      <c r="D13" s="90">
        <v>0.22799999999999998</v>
      </c>
      <c r="E13" s="90">
        <v>1.73075</v>
      </c>
      <c r="F13" s="63">
        <v>1700</v>
      </c>
      <c r="G13" s="63">
        <v>387.6</v>
      </c>
      <c r="H13" s="63">
        <v>2942.275</v>
      </c>
      <c r="J13" t="s">
        <v>29</v>
      </c>
      <c r="K13" s="63">
        <v>40</v>
      </c>
      <c r="L13" s="110">
        <f t="shared" si="0"/>
        <v>0.011399999999999999</v>
      </c>
      <c r="M13" s="111">
        <f t="shared" si="1"/>
        <v>0.0865375</v>
      </c>
      <c r="N13" s="63">
        <v>1700</v>
      </c>
      <c r="O13" s="63">
        <f t="shared" si="2"/>
        <v>19.380000000000003</v>
      </c>
      <c r="P13" s="63">
        <f t="shared" si="3"/>
        <v>147.11375</v>
      </c>
    </row>
    <row r="14" spans="2:16" ht="12.75">
      <c r="B14" t="s">
        <v>30</v>
      </c>
      <c r="C14" s="63">
        <v>393.4</v>
      </c>
      <c r="D14" s="90">
        <v>0.023182511438739197</v>
      </c>
      <c r="E14" s="90">
        <v>0.17597864768683277</v>
      </c>
      <c r="F14" s="63">
        <v>2400</v>
      </c>
      <c r="G14" s="63">
        <v>55.63802745297407</v>
      </c>
      <c r="H14" s="63">
        <v>422.34875444839867</v>
      </c>
      <c r="J14" t="s">
        <v>30</v>
      </c>
      <c r="K14" s="63">
        <v>393.4</v>
      </c>
      <c r="L14" s="110">
        <f t="shared" si="0"/>
        <v>0.0011591255719369598</v>
      </c>
      <c r="M14" s="111">
        <f t="shared" si="1"/>
        <v>0.008798932384341639</v>
      </c>
      <c r="N14" s="63">
        <v>2400</v>
      </c>
      <c r="O14" s="63">
        <f t="shared" si="2"/>
        <v>2.7819013726487034</v>
      </c>
      <c r="P14" s="63">
        <f t="shared" si="3"/>
        <v>21.117437722419933</v>
      </c>
    </row>
    <row r="15" spans="2:16" ht="12.75">
      <c r="B15" t="s">
        <v>207</v>
      </c>
      <c r="C15" s="63">
        <v>750.39</v>
      </c>
      <c r="D15" s="90">
        <v>0.012153680086355095</v>
      </c>
      <c r="E15" s="90">
        <v>0.09225869214675037</v>
      </c>
      <c r="F15" s="63">
        <v>5240</v>
      </c>
      <c r="G15" s="63">
        <v>63.6852836525007</v>
      </c>
      <c r="H15" s="63">
        <v>483.4355468489719</v>
      </c>
      <c r="J15" t="s">
        <v>207</v>
      </c>
      <c r="K15" s="63">
        <v>750.39</v>
      </c>
      <c r="L15" s="110">
        <f t="shared" si="0"/>
        <v>0.0006076840043177547</v>
      </c>
      <c r="M15" s="111">
        <f t="shared" si="1"/>
        <v>0.004612934607337518</v>
      </c>
      <c r="N15" s="63">
        <v>5240</v>
      </c>
      <c r="O15" s="63">
        <f t="shared" si="2"/>
        <v>3.184264182625035</v>
      </c>
      <c r="P15" s="63">
        <f t="shared" si="3"/>
        <v>24.171777342448596</v>
      </c>
    </row>
    <row r="16" spans="2:16" ht="12.75">
      <c r="B16" t="s">
        <v>31</v>
      </c>
      <c r="C16" s="63">
        <v>338</v>
      </c>
      <c r="D16" s="90">
        <v>0.026982248520710055</v>
      </c>
      <c r="E16" s="90">
        <v>0.2048224852071006</v>
      </c>
      <c r="F16" s="63">
        <v>12800</v>
      </c>
      <c r="G16" s="63">
        <v>345.3727810650887</v>
      </c>
      <c r="H16" s="63">
        <v>2621.727810650888</v>
      </c>
      <c r="J16" t="s">
        <v>31</v>
      </c>
      <c r="K16" s="63">
        <v>338</v>
      </c>
      <c r="L16" s="110">
        <f t="shared" si="0"/>
        <v>0.0013491124260355029</v>
      </c>
      <c r="M16" s="111">
        <f t="shared" si="1"/>
        <v>0.01024112426035503</v>
      </c>
      <c r="N16" s="63">
        <v>12800</v>
      </c>
      <c r="O16" s="63">
        <f t="shared" si="2"/>
        <v>17.268639053254436</v>
      </c>
      <c r="P16" s="63">
        <f t="shared" si="3"/>
        <v>131.08639053254439</v>
      </c>
    </row>
    <row r="17" spans="2:16" ht="12.75">
      <c r="B17" t="s">
        <v>34</v>
      </c>
      <c r="C17" s="63">
        <v>965.3</v>
      </c>
      <c r="D17" s="90">
        <v>0.009447840049725473</v>
      </c>
      <c r="E17" s="90">
        <v>0.071718636693256</v>
      </c>
      <c r="F17" s="63">
        <v>20400</v>
      </c>
      <c r="G17" s="63">
        <v>192.73593701439964</v>
      </c>
      <c r="H17" s="63">
        <v>1463.0601885424223</v>
      </c>
      <c r="J17" t="s">
        <v>34</v>
      </c>
      <c r="K17" s="63">
        <v>965.3</v>
      </c>
      <c r="L17" s="110">
        <f t="shared" si="0"/>
        <v>0.00047239200248627364</v>
      </c>
      <c r="M17" s="111">
        <f t="shared" si="1"/>
        <v>0.0035859318346628</v>
      </c>
      <c r="N17" s="63">
        <v>20400</v>
      </c>
      <c r="O17" s="63">
        <f t="shared" si="2"/>
        <v>9.636796850719982</v>
      </c>
      <c r="P17" s="63">
        <f t="shared" si="3"/>
        <v>73.15300942712112</v>
      </c>
    </row>
    <row r="18" spans="2:16" ht="12.75">
      <c r="B18" t="s">
        <v>35</v>
      </c>
      <c r="C18" s="63">
        <v>631.2</v>
      </c>
      <c r="D18" s="90">
        <v>0.01444866920152091</v>
      </c>
      <c r="E18" s="90">
        <v>0.10967997465145754</v>
      </c>
      <c r="F18" s="63">
        <v>27600</v>
      </c>
      <c r="G18" s="63">
        <v>398.7832699619771</v>
      </c>
      <c r="H18" s="63">
        <v>3027.167300380228</v>
      </c>
      <c r="J18" t="s">
        <v>35</v>
      </c>
      <c r="K18" s="63">
        <v>631.2</v>
      </c>
      <c r="L18" s="110">
        <f t="shared" si="0"/>
        <v>0.0007224334600760455</v>
      </c>
      <c r="M18" s="111">
        <f t="shared" si="1"/>
        <v>0.005483998732572877</v>
      </c>
      <c r="N18" s="63">
        <v>27600</v>
      </c>
      <c r="O18" s="63">
        <f t="shared" si="2"/>
        <v>19.939163498098857</v>
      </c>
      <c r="P18" s="63">
        <f t="shared" si="3"/>
        <v>151.3583650190114</v>
      </c>
    </row>
    <row r="19" spans="2:16" ht="12.75">
      <c r="B19" t="s">
        <v>32</v>
      </c>
      <c r="C19" s="63">
        <v>572</v>
      </c>
      <c r="D19" s="90">
        <v>0.015944055944055943</v>
      </c>
      <c r="E19" s="90">
        <v>0.12103146853146854</v>
      </c>
      <c r="F19" s="63">
        <v>8200</v>
      </c>
      <c r="G19" s="63">
        <v>130.74125874125875</v>
      </c>
      <c r="H19" s="63">
        <v>992.458041958042</v>
      </c>
      <c r="J19" t="s">
        <v>32</v>
      </c>
      <c r="K19" s="63">
        <v>572</v>
      </c>
      <c r="L19" s="110">
        <f t="shared" si="0"/>
        <v>0.0007972027972027972</v>
      </c>
      <c r="M19" s="111">
        <f t="shared" si="1"/>
        <v>0.006051573426573427</v>
      </c>
      <c r="N19" s="63">
        <v>8200</v>
      </c>
      <c r="O19" s="63">
        <f t="shared" si="2"/>
        <v>6.537062937062937</v>
      </c>
      <c r="P19" s="63">
        <f t="shared" si="3"/>
        <v>49.6229020979021</v>
      </c>
    </row>
    <row r="20" spans="2:16" ht="12.75">
      <c r="B20" t="s">
        <v>33</v>
      </c>
      <c r="C20" s="63">
        <v>1830</v>
      </c>
      <c r="D20" s="90">
        <v>0.004983606557377049</v>
      </c>
      <c r="E20" s="90">
        <v>0.037830601092896175</v>
      </c>
      <c r="F20" s="63">
        <v>30300</v>
      </c>
      <c r="G20" s="63">
        <v>151.00327868852457</v>
      </c>
      <c r="H20" s="63">
        <v>1146.2672131147542</v>
      </c>
      <c r="J20" t="s">
        <v>33</v>
      </c>
      <c r="K20" s="63">
        <v>1830</v>
      </c>
      <c r="L20" s="110">
        <f t="shared" si="0"/>
        <v>0.00024918032786885245</v>
      </c>
      <c r="M20" s="111">
        <f t="shared" si="1"/>
        <v>0.0018915300546448089</v>
      </c>
      <c r="N20" s="63">
        <v>30300</v>
      </c>
      <c r="O20" s="63">
        <f t="shared" si="2"/>
        <v>7.550163934426228</v>
      </c>
      <c r="P20" s="63">
        <f t="shared" si="3"/>
        <v>57.31336065573771</v>
      </c>
    </row>
    <row r="27" spans="2:6" ht="12.75">
      <c r="B27" t="s">
        <v>251</v>
      </c>
      <c r="C27" t="s">
        <v>233</v>
      </c>
      <c r="D27" t="s">
        <v>50</v>
      </c>
      <c r="E27" t="s">
        <v>246</v>
      </c>
      <c r="F27" t="s">
        <v>247</v>
      </c>
    </row>
    <row r="28" spans="2:6" ht="12.75">
      <c r="B28" t="s">
        <v>20</v>
      </c>
      <c r="C28" s="92">
        <v>523.7</v>
      </c>
      <c r="D28" s="61">
        <v>40301927</v>
      </c>
      <c r="E28">
        <f>C28*1000000000</f>
        <v>523700000000.00006</v>
      </c>
      <c r="F28" s="63">
        <f>E28/D28</f>
        <v>12994.415874953078</v>
      </c>
    </row>
    <row r="29" spans="2:6" ht="12.75">
      <c r="B29" t="s">
        <v>21</v>
      </c>
      <c r="C29" s="92">
        <v>1838</v>
      </c>
      <c r="D29" s="61">
        <v>190010647</v>
      </c>
      <c r="E29">
        <f aca="true" t="shared" si="4" ref="E29:E44">C29*1000000000</f>
        <v>1838000000000</v>
      </c>
      <c r="F29" s="63">
        <f aca="true" t="shared" si="5" ref="F29:F44">E29/D29</f>
        <v>9673.142158186536</v>
      </c>
    </row>
    <row r="30" spans="2:6" ht="12.75">
      <c r="B30" t="s">
        <v>16</v>
      </c>
      <c r="C30" s="92">
        <v>7043</v>
      </c>
      <c r="D30" s="61">
        <v>1321851888</v>
      </c>
      <c r="E30">
        <f t="shared" si="4"/>
        <v>7043000000000</v>
      </c>
      <c r="F30" s="63">
        <f t="shared" si="5"/>
        <v>5328.13098346159</v>
      </c>
    </row>
    <row r="31" spans="2:6" ht="12.75">
      <c r="B31" t="s">
        <v>22</v>
      </c>
      <c r="C31" s="92">
        <v>431.9</v>
      </c>
      <c r="D31" s="61">
        <v>80335036</v>
      </c>
      <c r="E31">
        <f t="shared" si="4"/>
        <v>431900000000</v>
      </c>
      <c r="F31" s="63">
        <f t="shared" si="5"/>
        <v>5376.234598313991</v>
      </c>
    </row>
    <row r="32" spans="2:6" ht="12.75">
      <c r="B32" t="s">
        <v>15</v>
      </c>
      <c r="C32" s="92">
        <v>2067</v>
      </c>
      <c r="D32" s="61">
        <v>64057790</v>
      </c>
      <c r="E32">
        <f t="shared" si="4"/>
        <v>2067000000000</v>
      </c>
      <c r="F32" s="63">
        <f t="shared" si="5"/>
        <v>32267.738240735434</v>
      </c>
    </row>
    <row r="33" spans="2:6" ht="12.75">
      <c r="B33" t="s">
        <v>23</v>
      </c>
      <c r="C33" s="92">
        <v>2833</v>
      </c>
      <c r="D33" s="61">
        <v>82400996</v>
      </c>
      <c r="E33">
        <f t="shared" si="4"/>
        <v>2833000000000</v>
      </c>
      <c r="F33" s="63">
        <f t="shared" si="5"/>
        <v>34380.65238920171</v>
      </c>
    </row>
    <row r="34" spans="2:6" ht="12.75">
      <c r="B34" t="s">
        <v>24</v>
      </c>
      <c r="C34" s="92">
        <v>2965</v>
      </c>
      <c r="D34" s="61">
        <v>1129866154</v>
      </c>
      <c r="E34">
        <f t="shared" si="4"/>
        <v>2965000000000</v>
      </c>
      <c r="F34" s="63">
        <f t="shared" si="5"/>
        <v>2624.2046365431706</v>
      </c>
    </row>
    <row r="35" spans="2:6" ht="12.75">
      <c r="B35" t="s">
        <v>26</v>
      </c>
      <c r="C35" s="92">
        <v>852.6</v>
      </c>
      <c r="D35" s="61">
        <v>65397521</v>
      </c>
      <c r="E35">
        <f t="shared" si="4"/>
        <v>852600000000</v>
      </c>
      <c r="F35" s="63">
        <f t="shared" si="5"/>
        <v>13037.191425038878</v>
      </c>
    </row>
    <row r="36" spans="2:6" ht="12.75">
      <c r="B36" t="s">
        <v>42</v>
      </c>
      <c r="C36" s="92">
        <v>184.9</v>
      </c>
      <c r="D36" s="61">
        <v>6426679</v>
      </c>
      <c r="E36">
        <f t="shared" si="4"/>
        <v>184900000000</v>
      </c>
      <c r="F36" s="63">
        <f t="shared" si="5"/>
        <v>28770.691674502494</v>
      </c>
    </row>
    <row r="37" spans="2:6" ht="12.75">
      <c r="B37" t="s">
        <v>29</v>
      </c>
      <c r="C37" s="92">
        <v>40</v>
      </c>
      <c r="D37" s="61">
        <v>23301725</v>
      </c>
      <c r="E37">
        <f t="shared" si="4"/>
        <v>40000000000</v>
      </c>
      <c r="F37" s="63">
        <f t="shared" si="5"/>
        <v>1716.61110926337</v>
      </c>
    </row>
    <row r="38" spans="2:6" ht="12.75">
      <c r="B38" t="s">
        <v>30</v>
      </c>
      <c r="C38" s="92">
        <v>446.1</v>
      </c>
      <c r="D38" s="61">
        <v>164741924</v>
      </c>
      <c r="E38">
        <f t="shared" si="4"/>
        <v>446100000000</v>
      </c>
      <c r="F38" s="63">
        <f t="shared" si="5"/>
        <v>2707.871737615496</v>
      </c>
    </row>
    <row r="39" spans="2:6" ht="12.75">
      <c r="B39" t="s">
        <v>207</v>
      </c>
      <c r="C39" s="92">
        <v>2076</v>
      </c>
      <c r="D39" s="61">
        <v>141377752</v>
      </c>
      <c r="E39">
        <f t="shared" si="4"/>
        <v>2076000000000</v>
      </c>
      <c r="F39" s="63">
        <f t="shared" si="5"/>
        <v>14684.064293227693</v>
      </c>
    </row>
    <row r="40" spans="2:6" ht="12.75">
      <c r="B40" t="s">
        <v>31</v>
      </c>
      <c r="C40" s="92">
        <v>572.2</v>
      </c>
      <c r="D40" s="61">
        <v>27601038</v>
      </c>
      <c r="E40">
        <f t="shared" si="4"/>
        <v>572200000000</v>
      </c>
      <c r="F40" s="63">
        <f t="shared" si="5"/>
        <v>20731.104388175547</v>
      </c>
    </row>
    <row r="41" spans="2:6" ht="12.75">
      <c r="B41" t="s">
        <v>34</v>
      </c>
      <c r="C41" s="92">
        <v>1206</v>
      </c>
      <c r="D41" s="61">
        <v>49044790</v>
      </c>
      <c r="E41">
        <f t="shared" si="4"/>
        <v>1206000000000</v>
      </c>
      <c r="F41" s="63">
        <f t="shared" si="5"/>
        <v>24589.767842822857</v>
      </c>
    </row>
    <row r="42" spans="2:6" ht="12.75">
      <c r="B42" t="s">
        <v>35</v>
      </c>
      <c r="C42" s="92">
        <v>690.1</v>
      </c>
      <c r="D42" s="61">
        <v>22858872</v>
      </c>
      <c r="E42">
        <f t="shared" si="4"/>
        <v>690100000000</v>
      </c>
      <c r="F42" s="63">
        <f t="shared" si="5"/>
        <v>30189.591157428942</v>
      </c>
    </row>
    <row r="43" spans="2:6" ht="12.75">
      <c r="B43" t="s">
        <v>32</v>
      </c>
      <c r="C43" s="92">
        <v>667.7</v>
      </c>
      <c r="D43" s="61">
        <v>71158647</v>
      </c>
      <c r="E43">
        <f t="shared" si="4"/>
        <v>667700000000</v>
      </c>
      <c r="F43" s="63">
        <f t="shared" si="5"/>
        <v>9383.258790741202</v>
      </c>
    </row>
    <row r="44" spans="2:6" ht="12.75">
      <c r="B44" t="s">
        <v>33</v>
      </c>
      <c r="C44" s="92">
        <v>2147</v>
      </c>
      <c r="D44" s="61">
        <v>60776238</v>
      </c>
      <c r="E44">
        <f t="shared" si="4"/>
        <v>2147000000000</v>
      </c>
      <c r="F44" s="63">
        <f t="shared" si="5"/>
        <v>35326.30631069992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A11" sqref="A11"/>
    </sheetView>
  </sheetViews>
  <sheetFormatPr defaultColWidth="9.140625" defaultRowHeight="12.75"/>
  <cols>
    <col min="1" max="1" width="20.7109375" style="0" customWidth="1"/>
    <col min="3" max="3" width="9.8515625" style="0" customWidth="1"/>
  </cols>
  <sheetData>
    <row r="1" ht="12.75">
      <c r="A1" t="s">
        <v>262</v>
      </c>
    </row>
    <row r="2" spans="1:5" ht="12.75">
      <c r="A2" t="s">
        <v>258</v>
      </c>
      <c r="B2" t="s">
        <v>259</v>
      </c>
      <c r="C2" t="s">
        <v>260</v>
      </c>
      <c r="D2" t="s">
        <v>261</v>
      </c>
      <c r="E2" t="s">
        <v>223</v>
      </c>
    </row>
    <row r="3" spans="1:5" ht="12.75">
      <c r="A3" t="s">
        <v>16</v>
      </c>
      <c r="B3">
        <v>285</v>
      </c>
      <c r="C3">
        <v>105</v>
      </c>
      <c r="D3">
        <v>193</v>
      </c>
      <c r="E3" s="94">
        <f>AVERAGE(B3:D3)</f>
        <v>194.33333333333334</v>
      </c>
    </row>
    <row r="4" spans="1:5" ht="12.75">
      <c r="A4" t="s">
        <v>15</v>
      </c>
      <c r="B4">
        <v>350</v>
      </c>
      <c r="C4">
        <v>350</v>
      </c>
      <c r="D4">
        <v>348</v>
      </c>
      <c r="E4" s="94">
        <f aca="true" t="shared" si="0" ref="E4:E11">AVERAGE(B4:D4)</f>
        <v>349.3333333333333</v>
      </c>
    </row>
    <row r="5" spans="1:5" ht="12.75">
      <c r="A5" t="s">
        <v>24</v>
      </c>
      <c r="B5">
        <v>50</v>
      </c>
      <c r="C5">
        <v>50</v>
      </c>
      <c r="D5">
        <v>60</v>
      </c>
      <c r="E5" s="94">
        <f t="shared" si="0"/>
        <v>53.333333333333336</v>
      </c>
    </row>
    <row r="6" spans="1:5" ht="12.75">
      <c r="A6" t="s">
        <v>42</v>
      </c>
      <c r="B6">
        <v>150</v>
      </c>
      <c r="C6">
        <v>80</v>
      </c>
      <c r="D6">
        <v>80</v>
      </c>
      <c r="E6" s="94">
        <f t="shared" si="0"/>
        <v>103.33333333333333</v>
      </c>
    </row>
    <row r="7" spans="1:5" ht="12.75">
      <c r="A7" t="s">
        <v>29</v>
      </c>
      <c r="B7">
        <v>8.5</v>
      </c>
      <c r="C7">
        <v>7.5</v>
      </c>
      <c r="D7" s="109" t="s">
        <v>244</v>
      </c>
      <c r="E7" s="94">
        <f t="shared" si="0"/>
        <v>8</v>
      </c>
    </row>
    <row r="8" spans="1:5" ht="12.75">
      <c r="A8" t="s">
        <v>30</v>
      </c>
      <c r="B8">
        <v>55</v>
      </c>
      <c r="C8">
        <v>60</v>
      </c>
      <c r="D8">
        <v>60</v>
      </c>
      <c r="E8" s="94">
        <f t="shared" si="0"/>
        <v>58.333333333333336</v>
      </c>
    </row>
    <row r="9" spans="1:5" ht="12.75">
      <c r="A9" t="s">
        <v>207</v>
      </c>
      <c r="B9">
        <v>7200</v>
      </c>
      <c r="C9">
        <v>5700</v>
      </c>
      <c r="D9">
        <v>5569</v>
      </c>
      <c r="E9" s="94">
        <f t="shared" si="0"/>
        <v>6156.333333333333</v>
      </c>
    </row>
    <row r="10" spans="1:5" ht="12.75">
      <c r="A10" t="s">
        <v>252</v>
      </c>
      <c r="B10">
        <v>190</v>
      </c>
      <c r="C10">
        <v>160</v>
      </c>
      <c r="D10">
        <v>160</v>
      </c>
      <c r="E10" s="94">
        <f t="shared" si="0"/>
        <v>170</v>
      </c>
    </row>
    <row r="11" spans="1:5" ht="12.75">
      <c r="A11" t="s">
        <v>253</v>
      </c>
      <c r="B11">
        <v>5736</v>
      </c>
      <c r="C11">
        <v>5200</v>
      </c>
      <c r="D11">
        <v>5400</v>
      </c>
      <c r="E11" s="94">
        <f t="shared" si="0"/>
        <v>5445.333333333333</v>
      </c>
    </row>
    <row r="12" spans="1:5" ht="26.25" customHeight="1">
      <c r="A12" s="114" t="s">
        <v>256</v>
      </c>
      <c r="B12" s="114"/>
      <c r="C12" s="114"/>
      <c r="D12" s="114"/>
      <c r="E12" s="114"/>
    </row>
    <row r="14" ht="12.75">
      <c r="A14" t="s">
        <v>257</v>
      </c>
    </row>
    <row r="15" ht="12.75">
      <c r="A15" t="s">
        <v>254</v>
      </c>
    </row>
    <row r="16" ht="12.75">
      <c r="A16" t="s">
        <v>255</v>
      </c>
    </row>
  </sheetData>
  <mergeCells count="1">
    <mergeCell ref="A12:E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AJ22"/>
  <sheetViews>
    <sheetView tabSelected="1" workbookViewId="0" topLeftCell="X1">
      <selection activeCell="AD18" sqref="AD18"/>
    </sheetView>
  </sheetViews>
  <sheetFormatPr defaultColWidth="9.140625" defaultRowHeight="12.75"/>
  <cols>
    <col min="1" max="1" width="19.8515625" style="3" customWidth="1"/>
    <col min="2" max="2" width="9.421875" style="3" bestFit="1" customWidth="1"/>
    <col min="3" max="3" width="15.140625" style="3" customWidth="1"/>
    <col min="4" max="4" width="18.421875" style="3" customWidth="1"/>
    <col min="5" max="5" width="13.8515625" style="3" customWidth="1"/>
    <col min="6" max="6" width="9.57421875" style="3" customWidth="1"/>
    <col min="7" max="7" width="10.140625" style="3" customWidth="1"/>
    <col min="8" max="8" width="15.8515625" style="3" bestFit="1" customWidth="1"/>
    <col min="9" max="9" width="13.57421875" style="3" bestFit="1" customWidth="1"/>
    <col min="10" max="31" width="11.57421875" style="3" customWidth="1"/>
    <col min="32" max="32" width="21.421875" style="3" customWidth="1"/>
    <col min="33" max="118" width="11.57421875" style="3" customWidth="1"/>
    <col min="119" max="16384" width="19.8515625" style="3" customWidth="1"/>
  </cols>
  <sheetData>
    <row r="2" spans="1:24" ht="25.5">
      <c r="A2" s="7" t="s">
        <v>282</v>
      </c>
      <c r="P2" s="3" t="s">
        <v>266</v>
      </c>
      <c r="X2" s="3" t="s">
        <v>265</v>
      </c>
    </row>
    <row r="3" spans="2:36" ht="102">
      <c r="B3" s="3" t="s">
        <v>235</v>
      </c>
      <c r="C3" s="3" t="s">
        <v>243</v>
      </c>
      <c r="D3" s="3" t="s">
        <v>242</v>
      </c>
      <c r="E3" s="3" t="s">
        <v>241</v>
      </c>
      <c r="F3" s="3" t="s">
        <v>195</v>
      </c>
      <c r="G3" s="3" t="s">
        <v>216</v>
      </c>
      <c r="H3" s="3" t="s">
        <v>212</v>
      </c>
      <c r="I3" s="3" t="s">
        <v>240</v>
      </c>
      <c r="K3" s="3" t="s">
        <v>7</v>
      </c>
      <c r="L3" s="3" t="s">
        <v>232</v>
      </c>
      <c r="M3" s="3" t="s">
        <v>195</v>
      </c>
      <c r="N3" s="3" t="s">
        <v>206</v>
      </c>
      <c r="P3" s="3">
        <v>2007</v>
      </c>
      <c r="Q3" s="3" t="s">
        <v>245</v>
      </c>
      <c r="R3" s="3" t="s">
        <v>229</v>
      </c>
      <c r="S3" s="3" t="s">
        <v>227</v>
      </c>
      <c r="T3" s="3" t="s">
        <v>248</v>
      </c>
      <c r="U3" s="3" t="s">
        <v>249</v>
      </c>
      <c r="V3" s="3" t="s">
        <v>250</v>
      </c>
      <c r="X3" s="3">
        <v>2007</v>
      </c>
      <c r="Y3" s="3" t="s">
        <v>245</v>
      </c>
      <c r="Z3" s="3" t="s">
        <v>229</v>
      </c>
      <c r="AA3" s="3" t="s">
        <v>227</v>
      </c>
      <c r="AB3" s="3" t="s">
        <v>248</v>
      </c>
      <c r="AC3" s="3" t="s">
        <v>249</v>
      </c>
      <c r="AD3" s="3" t="s">
        <v>250</v>
      </c>
      <c r="AF3" s="3" t="s">
        <v>274</v>
      </c>
      <c r="AG3" s="3" t="s">
        <v>279</v>
      </c>
      <c r="AH3" s="3" t="s">
        <v>191</v>
      </c>
      <c r="AI3" s="3" t="s">
        <v>280</v>
      </c>
      <c r="AJ3" s="3" t="s">
        <v>281</v>
      </c>
    </row>
    <row r="4" spans="2:36" ht="12.75">
      <c r="B4" s="3">
        <v>1951</v>
      </c>
      <c r="C4" s="99">
        <v>8590.498300306774</v>
      </c>
      <c r="D4" s="99">
        <v>1700.6213000580403</v>
      </c>
      <c r="E4" s="99">
        <v>11315.96604759141</v>
      </c>
      <c r="F4" s="101">
        <v>0.005087024329382408</v>
      </c>
      <c r="G4" s="99">
        <v>73.42044894878036</v>
      </c>
      <c r="H4" s="3">
        <v>271</v>
      </c>
      <c r="I4" s="102">
        <v>41.75633227893509</v>
      </c>
      <c r="K4" s="3">
        <v>1951</v>
      </c>
      <c r="L4" s="98">
        <v>67.1157894736842</v>
      </c>
      <c r="M4" s="104">
        <v>0.030171498615534465</v>
      </c>
      <c r="N4" s="98">
        <v>435.4618398451779</v>
      </c>
      <c r="P4" s="3" t="s">
        <v>20</v>
      </c>
      <c r="Q4" s="107">
        <v>523.7</v>
      </c>
      <c r="R4" s="100">
        <f>73.94/Q4</f>
        <v>0.14118770288333013</v>
      </c>
      <c r="S4" s="100">
        <f>9.74/Q4</f>
        <v>0.018598434218063776</v>
      </c>
      <c r="T4" s="108">
        <v>12994.415874953078</v>
      </c>
      <c r="U4" s="108">
        <f>T4*R4</f>
        <v>1834.6517276953034</v>
      </c>
      <c r="V4" s="108">
        <f>T4*S4</f>
        <v>241.67578885247846</v>
      </c>
      <c r="X4" s="3" t="s">
        <v>20</v>
      </c>
      <c r="Y4" s="107">
        <v>523.7</v>
      </c>
      <c r="Z4" s="101">
        <f>R4/20</f>
        <v>0.0070593851441665065</v>
      </c>
      <c r="AA4" s="101">
        <f>S4/20</f>
        <v>0.0009299217109031887</v>
      </c>
      <c r="AB4" s="108">
        <v>12994.415874953078</v>
      </c>
      <c r="AC4" s="108">
        <f>U4/20</f>
        <v>91.73258638476517</v>
      </c>
      <c r="AD4" s="108">
        <f>V4/20</f>
        <v>12.083789442623923</v>
      </c>
      <c r="AF4" s="3" t="s">
        <v>275</v>
      </c>
      <c r="AG4" s="3">
        <v>28</v>
      </c>
      <c r="AH4" s="3">
        <v>0.9395</v>
      </c>
      <c r="AI4" s="3">
        <f>AG4/AH4</f>
        <v>29.803086748270356</v>
      </c>
      <c r="AJ4" s="26">
        <f>AI4*1.1955</f>
        <v>35.629590207557214</v>
      </c>
    </row>
    <row r="5" spans="2:36" ht="12.75">
      <c r="B5" s="3">
        <v>1952</v>
      </c>
      <c r="C5" s="99">
        <v>3349.6682477678573</v>
      </c>
      <c r="D5" s="99">
        <v>2096.1277901785716</v>
      </c>
      <c r="E5" s="99">
        <v>5445.796037946428</v>
      </c>
      <c r="F5" s="101">
        <v>0.002341652323580034</v>
      </c>
      <c r="G5" s="99">
        <v>34.703116324948574</v>
      </c>
      <c r="H5" s="3">
        <v>365</v>
      </c>
      <c r="I5" s="102">
        <v>14.919989145058707</v>
      </c>
      <c r="K5" s="3">
        <v>1952</v>
      </c>
      <c r="L5" s="98">
        <v>97.3178947368421</v>
      </c>
      <c r="M5" s="104">
        <v>0.04184598041287958</v>
      </c>
      <c r="N5" s="98">
        <v>620.1543719263609</v>
      </c>
      <c r="P5" s="3" t="s">
        <v>21</v>
      </c>
      <c r="Q5" s="107">
        <v>1838</v>
      </c>
      <c r="R5" s="100">
        <f aca="true" t="shared" si="0" ref="R5:R21">73.94/Q5</f>
        <v>0.04022850924918389</v>
      </c>
      <c r="S5" s="100">
        <f aca="true" t="shared" si="1" ref="S5:S21">9.74/Q5</f>
        <v>0.00529923830250272</v>
      </c>
      <c r="T5" s="108">
        <v>9673.142158186536</v>
      </c>
      <c r="U5" s="108">
        <f aca="true" t="shared" si="2" ref="U5:U21">T5*R5</f>
        <v>389.1360887792777</v>
      </c>
      <c r="V5" s="108">
        <f aca="true" t="shared" si="3" ref="V5:V21">T5*S5</f>
        <v>51.26028543021592</v>
      </c>
      <c r="X5" s="3" t="s">
        <v>21</v>
      </c>
      <c r="Y5" s="107">
        <v>1838</v>
      </c>
      <c r="Z5" s="101">
        <f aca="true" t="shared" si="4" ref="Z5:Z21">R5/20</f>
        <v>0.0020114254624591945</v>
      </c>
      <c r="AA5" s="101">
        <f aca="true" t="shared" si="5" ref="AA5:AA21">S5/20</f>
        <v>0.000264961915125136</v>
      </c>
      <c r="AB5" s="108">
        <v>9673.142158186536</v>
      </c>
      <c r="AC5" s="108">
        <f aca="true" t="shared" si="6" ref="AC5:AC21">U5/20</f>
        <v>19.456804438963886</v>
      </c>
      <c r="AD5" s="108">
        <f aca="true" t="shared" si="7" ref="AD5:AD21">V5/20</f>
        <v>2.563014271510796</v>
      </c>
      <c r="AF5" s="3" t="s">
        <v>276</v>
      </c>
      <c r="AG5" s="3">
        <v>5.7</v>
      </c>
      <c r="AH5" s="3">
        <v>0.6963</v>
      </c>
      <c r="AI5" s="3">
        <f>AG5/AH5</f>
        <v>8.186126669538991</v>
      </c>
      <c r="AJ5" s="26">
        <f>AI5*1.1955</f>
        <v>9.786514433433863</v>
      </c>
    </row>
    <row r="6" spans="2:36" ht="12.75">
      <c r="B6" s="3">
        <v>1953</v>
      </c>
      <c r="C6" s="99">
        <v>18817.497534246577</v>
      </c>
      <c r="D6" s="99">
        <v>1773.270410958904</v>
      </c>
      <c r="E6" s="99">
        <v>20590.76794520548</v>
      </c>
      <c r="F6" s="101">
        <v>0.008429337624027892</v>
      </c>
      <c r="G6" s="99">
        <v>128.91386068705054</v>
      </c>
      <c r="H6" s="3">
        <v>431</v>
      </c>
      <c r="I6" s="102">
        <v>47.774403585163526</v>
      </c>
      <c r="K6" s="3">
        <v>1953</v>
      </c>
      <c r="L6" s="98">
        <v>83.89473684210525</v>
      </c>
      <c r="M6" s="104">
        <v>0.03434437528522298</v>
      </c>
      <c r="N6" s="98">
        <v>525.2448304220834</v>
      </c>
      <c r="P6" s="3" t="s">
        <v>16</v>
      </c>
      <c r="Q6" s="107">
        <v>7043</v>
      </c>
      <c r="R6" s="100">
        <f t="shared" si="0"/>
        <v>0.010498367173079653</v>
      </c>
      <c r="S6" s="100">
        <f t="shared" si="1"/>
        <v>0.0013829334090586399</v>
      </c>
      <c r="T6" s="108">
        <v>5328.13098346159</v>
      </c>
      <c r="U6" s="108">
        <f t="shared" si="2"/>
        <v>55.93667541064177</v>
      </c>
      <c r="V6" s="108">
        <f t="shared" si="3"/>
        <v>7.368450344869501</v>
      </c>
      <c r="X6" s="3" t="s">
        <v>16</v>
      </c>
      <c r="Y6" s="107">
        <v>7043</v>
      </c>
      <c r="Z6" s="101">
        <f t="shared" si="4"/>
        <v>0.0005249183586539827</v>
      </c>
      <c r="AA6" s="101">
        <f t="shared" si="5"/>
        <v>6.914667045293199E-05</v>
      </c>
      <c r="AB6" s="108">
        <v>5328.13098346159</v>
      </c>
      <c r="AC6" s="108">
        <f t="shared" si="6"/>
        <v>2.7968337705320883</v>
      </c>
      <c r="AD6" s="108">
        <f t="shared" si="7"/>
        <v>0.3684225172434751</v>
      </c>
      <c r="AF6" s="3" t="s">
        <v>277</v>
      </c>
      <c r="AG6" s="3">
        <v>5</v>
      </c>
      <c r="AH6" s="3">
        <v>0.7311</v>
      </c>
      <c r="AI6" s="3">
        <f>AG6/AH6</f>
        <v>6.839009711393791</v>
      </c>
      <c r="AJ6" s="26">
        <f>AI6*1.1955</f>
        <v>8.176036109971276</v>
      </c>
    </row>
    <row r="7" spans="2:36" ht="12.75">
      <c r="B7" s="3">
        <v>1954</v>
      </c>
      <c r="C7" s="99">
        <v>5362.264355362948</v>
      </c>
      <c r="D7" s="99">
        <v>1677.9742686890577</v>
      </c>
      <c r="E7" s="99">
        <v>7040.2386240520045</v>
      </c>
      <c r="F7" s="101">
        <v>0.0028812615955473094</v>
      </c>
      <c r="G7" s="99">
        <v>43.31794772212851</v>
      </c>
      <c r="H7" s="3">
        <v>627</v>
      </c>
      <c r="I7" s="102">
        <v>11.228450756063802</v>
      </c>
      <c r="K7" s="3">
        <v>1954</v>
      </c>
      <c r="L7" s="98">
        <v>41.94736842105262</v>
      </c>
      <c r="M7" s="104">
        <v>0.017167222322968828</v>
      </c>
      <c r="N7" s="98">
        <v>258.0983414590862</v>
      </c>
      <c r="P7" s="3" t="s">
        <v>22</v>
      </c>
      <c r="Q7" s="107">
        <v>431.9</v>
      </c>
      <c r="R7" s="100">
        <f t="shared" si="0"/>
        <v>0.1711970363510072</v>
      </c>
      <c r="S7" s="100">
        <f t="shared" si="1"/>
        <v>0.02255151655475805</v>
      </c>
      <c r="T7" s="108">
        <v>5376.234598313991</v>
      </c>
      <c r="U7" s="108">
        <f t="shared" si="2"/>
        <v>920.3954299591029</v>
      </c>
      <c r="V7" s="108">
        <f t="shared" si="3"/>
        <v>121.24224354614097</v>
      </c>
      <c r="X7" s="3" t="s">
        <v>22</v>
      </c>
      <c r="Y7" s="107">
        <v>431.9</v>
      </c>
      <c r="Z7" s="101">
        <f t="shared" si="4"/>
        <v>0.00855985181755036</v>
      </c>
      <c r="AA7" s="101">
        <f t="shared" si="5"/>
        <v>0.0011275758277379025</v>
      </c>
      <c r="AB7" s="108">
        <v>5376.234598313991</v>
      </c>
      <c r="AC7" s="108">
        <f t="shared" si="6"/>
        <v>46.01977149795515</v>
      </c>
      <c r="AD7" s="108">
        <f t="shared" si="7"/>
        <v>6.062112177307048</v>
      </c>
      <c r="AF7" s="3" t="s">
        <v>278</v>
      </c>
      <c r="AG7" s="3">
        <v>1.2</v>
      </c>
      <c r="AH7" s="3">
        <v>0.7311</v>
      </c>
      <c r="AI7" s="3">
        <f>AG7/AH7</f>
        <v>1.6413623307345095</v>
      </c>
      <c r="AJ7" s="26">
        <f>AI7*1.1955</f>
        <v>1.9622486663931062</v>
      </c>
    </row>
    <row r="8" spans="2:30" ht="12.75">
      <c r="B8" s="3">
        <v>1955</v>
      </c>
      <c r="C8" s="99">
        <v>5110.088345864661</v>
      </c>
      <c r="D8" s="99">
        <v>1722.62432867884</v>
      </c>
      <c r="E8" s="99">
        <v>6832.7126745435025</v>
      </c>
      <c r="F8" s="101">
        <v>0.0026969082615306643</v>
      </c>
      <c r="G8" s="99">
        <v>41.329102283646584</v>
      </c>
      <c r="H8" s="3">
        <v>994</v>
      </c>
      <c r="I8" s="102">
        <v>6.873956413021633</v>
      </c>
      <c r="K8" s="3">
        <v>1955</v>
      </c>
      <c r="L8" s="98">
        <v>58.72631578947368</v>
      </c>
      <c r="M8" s="104">
        <v>0.023179591147153233</v>
      </c>
      <c r="N8" s="98">
        <v>355.21849485161374</v>
      </c>
      <c r="P8" s="3" t="s">
        <v>15</v>
      </c>
      <c r="Q8" s="107">
        <v>2067</v>
      </c>
      <c r="R8" s="100">
        <f t="shared" si="0"/>
        <v>0.035771649733913884</v>
      </c>
      <c r="S8" s="100">
        <f t="shared" si="1"/>
        <v>0.00471214320270924</v>
      </c>
      <c r="T8" s="108">
        <v>32267.738240735434</v>
      </c>
      <c r="U8" s="108">
        <f t="shared" si="2"/>
        <v>1154.2702300532067</v>
      </c>
      <c r="V8" s="108">
        <f t="shared" si="3"/>
        <v>152.0502034178825</v>
      </c>
      <c r="X8" s="3" t="s">
        <v>15</v>
      </c>
      <c r="Y8" s="107">
        <v>2067</v>
      </c>
      <c r="Z8" s="101">
        <f t="shared" si="4"/>
        <v>0.001788582486695694</v>
      </c>
      <c r="AA8" s="101">
        <f t="shared" si="5"/>
        <v>0.000235607160135462</v>
      </c>
      <c r="AB8" s="108">
        <v>32267.738240735434</v>
      </c>
      <c r="AC8" s="108">
        <f t="shared" si="6"/>
        <v>57.71351150266033</v>
      </c>
      <c r="AD8" s="108">
        <f t="shared" si="7"/>
        <v>7.602510170894125</v>
      </c>
    </row>
    <row r="9" spans="2:30" ht="12.75">
      <c r="B9" s="3">
        <v>1956</v>
      </c>
      <c r="C9" s="99">
        <v>5506.431711145997</v>
      </c>
      <c r="D9" s="99">
        <v>1878.6428571428573</v>
      </c>
      <c r="E9" s="99">
        <v>7385.074568288855</v>
      </c>
      <c r="F9" s="101">
        <v>0.002763342696629214</v>
      </c>
      <c r="G9" s="99">
        <v>43.92629631073427</v>
      </c>
      <c r="H9" s="3">
        <v>1561</v>
      </c>
      <c r="I9" s="102">
        <v>4.730989473599522</v>
      </c>
      <c r="K9" s="3">
        <v>1956</v>
      </c>
      <c r="L9" s="98">
        <v>75.50526315789473</v>
      </c>
      <c r="M9" s="104">
        <v>0.02825251330573625</v>
      </c>
      <c r="N9" s="98">
        <v>449.10400454658287</v>
      </c>
      <c r="P9" s="3" t="s">
        <v>23</v>
      </c>
      <c r="Q9" s="107">
        <v>2833</v>
      </c>
      <c r="R9" s="100">
        <f t="shared" si="0"/>
        <v>0.026099541122484998</v>
      </c>
      <c r="S9" s="100">
        <f t="shared" si="1"/>
        <v>0.003438051535474762</v>
      </c>
      <c r="T9" s="108">
        <v>34380.65238920171</v>
      </c>
      <c r="U9" s="108">
        <f t="shared" si="2"/>
        <v>897.3192508498321</v>
      </c>
      <c r="V9" s="108">
        <f t="shared" si="3"/>
        <v>118.20245473731897</v>
      </c>
      <c r="X9" s="3" t="s">
        <v>23</v>
      </c>
      <c r="Y9" s="107">
        <v>2833</v>
      </c>
      <c r="Z9" s="101">
        <f t="shared" si="4"/>
        <v>0.00130497705612425</v>
      </c>
      <c r="AA9" s="101">
        <f t="shared" si="5"/>
        <v>0.0001719025767737381</v>
      </c>
      <c r="AB9" s="108">
        <v>34380.65238920171</v>
      </c>
      <c r="AC9" s="108">
        <f t="shared" si="6"/>
        <v>44.8659625424916</v>
      </c>
      <c r="AD9" s="108">
        <f t="shared" si="7"/>
        <v>5.910122736865949</v>
      </c>
    </row>
    <row r="10" spans="2:30" ht="12.75">
      <c r="B10" s="3">
        <v>1957</v>
      </c>
      <c r="C10" s="99">
        <v>6302.449319213314</v>
      </c>
      <c r="D10" s="99">
        <v>2324.683812405446</v>
      </c>
      <c r="E10" s="99">
        <v>8627.133131618759</v>
      </c>
      <c r="F10" s="101">
        <v>0.0031778814123917384</v>
      </c>
      <c r="G10" s="99">
        <v>50.47351424413934</v>
      </c>
      <c r="H10" s="3">
        <v>1826</v>
      </c>
      <c r="I10" s="102">
        <v>4.72460741052506</v>
      </c>
      <c r="K10" s="3">
        <v>1957</v>
      </c>
      <c r="L10" s="98">
        <v>90.60631578947368</v>
      </c>
      <c r="M10" s="104">
        <v>0.0333756443073039</v>
      </c>
      <c r="N10" s="98">
        <v>530.0972062025994</v>
      </c>
      <c r="P10" s="3" t="s">
        <v>24</v>
      </c>
      <c r="Q10" s="107">
        <v>2965</v>
      </c>
      <c r="R10" s="100">
        <f t="shared" si="0"/>
        <v>0.02493760539629005</v>
      </c>
      <c r="S10" s="100">
        <f t="shared" si="1"/>
        <v>0.003284991568296796</v>
      </c>
      <c r="T10" s="108">
        <v>2624.2046365431706</v>
      </c>
      <c r="U10" s="108">
        <f t="shared" si="2"/>
        <v>65.44137970522834</v>
      </c>
      <c r="V10" s="108">
        <f t="shared" si="3"/>
        <v>8.620490104529674</v>
      </c>
      <c r="X10" s="3" t="s">
        <v>24</v>
      </c>
      <c r="Y10" s="107">
        <v>2965</v>
      </c>
      <c r="Z10" s="101">
        <f t="shared" si="4"/>
        <v>0.0012468802698145025</v>
      </c>
      <c r="AA10" s="101">
        <f t="shared" si="5"/>
        <v>0.0001642495784148398</v>
      </c>
      <c r="AB10" s="108">
        <v>2624.2046365431706</v>
      </c>
      <c r="AC10" s="108">
        <f t="shared" si="6"/>
        <v>3.2720689852614173</v>
      </c>
      <c r="AD10" s="108">
        <f t="shared" si="7"/>
        <v>0.4310245052264837</v>
      </c>
    </row>
    <row r="11" spans="2:30" ht="12.75">
      <c r="B11" s="3">
        <v>1958</v>
      </c>
      <c r="C11" s="99">
        <v>6916.69603524229</v>
      </c>
      <c r="D11" s="99">
        <v>2818.7584434654914</v>
      </c>
      <c r="E11" s="99">
        <v>9735.454478707785</v>
      </c>
      <c r="F11" s="101">
        <v>0.0036128121606948975</v>
      </c>
      <c r="G11" s="99">
        <v>56.03987462060753</v>
      </c>
      <c r="H11" s="3">
        <v>3378</v>
      </c>
      <c r="I11" s="102">
        <v>2.8820173116364076</v>
      </c>
      <c r="K11" s="3">
        <v>1958</v>
      </c>
      <c r="L11" s="98">
        <v>83.89473684210525</v>
      </c>
      <c r="M11" s="104">
        <v>0.031133207611863528</v>
      </c>
      <c r="N11" s="98">
        <v>482.9204989086938</v>
      </c>
      <c r="P11" s="3" t="s">
        <v>26</v>
      </c>
      <c r="Q11" s="107">
        <v>852.6</v>
      </c>
      <c r="R11" s="100">
        <f t="shared" si="0"/>
        <v>0.0867229650480882</v>
      </c>
      <c r="S11" s="100">
        <f t="shared" si="1"/>
        <v>0.011423879896786301</v>
      </c>
      <c r="T11" s="108">
        <v>13037.191425038878</v>
      </c>
      <c r="U11" s="108">
        <f t="shared" si="2"/>
        <v>1130.6238962788818</v>
      </c>
      <c r="V11" s="108">
        <f t="shared" si="3"/>
        <v>148.9353090310564</v>
      </c>
      <c r="X11" s="3" t="s">
        <v>26</v>
      </c>
      <c r="Y11" s="107">
        <v>852.6</v>
      </c>
      <c r="Z11" s="101">
        <f t="shared" si="4"/>
        <v>0.00433614825240441</v>
      </c>
      <c r="AA11" s="101">
        <f t="shared" si="5"/>
        <v>0.0005711939948393151</v>
      </c>
      <c r="AB11" s="108">
        <v>13037.191425038878</v>
      </c>
      <c r="AC11" s="108">
        <f t="shared" si="6"/>
        <v>56.53119481394409</v>
      </c>
      <c r="AD11" s="108">
        <f t="shared" si="7"/>
        <v>7.446765451552819</v>
      </c>
    </row>
    <row r="12" spans="2:30" ht="12.75">
      <c r="B12" s="3">
        <v>1959</v>
      </c>
      <c r="C12" s="99">
        <v>7622.968915662651</v>
      </c>
      <c r="D12" s="99">
        <v>3005.7462650602415</v>
      </c>
      <c r="E12" s="99">
        <v>10628.715180722891</v>
      </c>
      <c r="F12" s="101">
        <v>0.0037534079348931835</v>
      </c>
      <c r="G12" s="99">
        <v>60.21135312524439</v>
      </c>
      <c r="H12" s="3">
        <v>5646</v>
      </c>
      <c r="I12" s="102">
        <v>1.8825212859941358</v>
      </c>
      <c r="K12" s="3">
        <v>1959</v>
      </c>
      <c r="L12" s="98">
        <v>87.25052631578947</v>
      </c>
      <c r="M12" s="104">
        <v>0.03081151505416644</v>
      </c>
      <c r="N12" s="98">
        <v>494.27161806833965</v>
      </c>
      <c r="P12" s="3" t="s">
        <v>42</v>
      </c>
      <c r="Q12" s="107">
        <v>184.9</v>
      </c>
      <c r="R12" s="100">
        <f t="shared" si="0"/>
        <v>0.3998918334234721</v>
      </c>
      <c r="S12" s="100">
        <f t="shared" si="1"/>
        <v>0.05267712276906436</v>
      </c>
      <c r="T12" s="108">
        <v>28770.691674502494</v>
      </c>
      <c r="U12" s="108">
        <f t="shared" si="2"/>
        <v>11505.164642578227</v>
      </c>
      <c r="V12" s="108">
        <f t="shared" si="3"/>
        <v>1515.5572574886658</v>
      </c>
      <c r="X12" s="3" t="s">
        <v>42</v>
      </c>
      <c r="Y12" s="107">
        <v>184.9</v>
      </c>
      <c r="Z12" s="101">
        <f t="shared" si="4"/>
        <v>0.019994591671173605</v>
      </c>
      <c r="AA12" s="101">
        <f t="shared" si="5"/>
        <v>0.002633856138453218</v>
      </c>
      <c r="AB12" s="108">
        <v>28770.691674502494</v>
      </c>
      <c r="AC12" s="108">
        <f t="shared" si="6"/>
        <v>575.2582321289113</v>
      </c>
      <c r="AD12" s="108">
        <f t="shared" si="7"/>
        <v>75.77786287443328</v>
      </c>
    </row>
    <row r="13" spans="2:30" ht="12.75">
      <c r="B13" s="3">
        <v>1960</v>
      </c>
      <c r="C13" s="99">
        <v>7802.060714285714</v>
      </c>
      <c r="D13" s="99">
        <v>3005.259285714286</v>
      </c>
      <c r="E13" s="99">
        <v>10807.32</v>
      </c>
      <c r="F13" s="101">
        <v>0.0036655725043444683</v>
      </c>
      <c r="G13" s="99">
        <v>60.26728000995967</v>
      </c>
      <c r="H13" s="3">
        <v>4966</v>
      </c>
      <c r="I13" s="102">
        <v>2.176262585581957</v>
      </c>
      <c r="K13" s="3">
        <v>1960</v>
      </c>
      <c r="L13" s="98">
        <v>75.50526315789473</v>
      </c>
      <c r="M13" s="104">
        <v>0.025609495838456925</v>
      </c>
      <c r="N13" s="98">
        <v>421.05691669743595</v>
      </c>
      <c r="P13" s="3" t="s">
        <v>29</v>
      </c>
      <c r="Q13" s="107">
        <v>40</v>
      </c>
      <c r="R13" s="100">
        <f t="shared" si="0"/>
        <v>1.8485</v>
      </c>
      <c r="S13" s="100">
        <f t="shared" si="1"/>
        <v>0.2435</v>
      </c>
      <c r="T13" s="108">
        <v>1716.61110926337</v>
      </c>
      <c r="U13" s="108">
        <f t="shared" si="2"/>
        <v>3173.1556354733398</v>
      </c>
      <c r="V13" s="108">
        <f t="shared" si="3"/>
        <v>417.9948051056306</v>
      </c>
      <c r="X13" s="3" t="s">
        <v>29</v>
      </c>
      <c r="Y13" s="107">
        <v>40</v>
      </c>
      <c r="Z13" s="101">
        <f t="shared" si="4"/>
        <v>0.09242500000000001</v>
      </c>
      <c r="AA13" s="101">
        <f t="shared" si="5"/>
        <v>0.012175</v>
      </c>
      <c r="AB13" s="108">
        <v>1716.61110926337</v>
      </c>
      <c r="AC13" s="108">
        <f t="shared" si="6"/>
        <v>158.65778177366698</v>
      </c>
      <c r="AD13" s="108">
        <f t="shared" si="7"/>
        <v>20.89974025528153</v>
      </c>
    </row>
    <row r="14" spans="2:30" ht="12.75">
      <c r="B14" s="3">
        <v>1961</v>
      </c>
      <c r="C14" s="99">
        <v>7134.833802816902</v>
      </c>
      <c r="D14" s="99">
        <v>3048.2443661971834</v>
      </c>
      <c r="E14" s="99">
        <v>10183.078169014085</v>
      </c>
      <c r="F14" s="101">
        <v>0.003418048229088169</v>
      </c>
      <c r="G14" s="99">
        <v>56.03686283239389</v>
      </c>
      <c r="H14" s="3">
        <v>3692</v>
      </c>
      <c r="I14" s="102">
        <v>2.7581468496787878</v>
      </c>
      <c r="K14" s="3">
        <v>1961</v>
      </c>
      <c r="L14" s="98">
        <v>90.60631578947368</v>
      </c>
      <c r="M14" s="104">
        <v>0.03041288224328719</v>
      </c>
      <c r="N14" s="98">
        <v>498.6010718343411</v>
      </c>
      <c r="P14" s="3" t="s">
        <v>30</v>
      </c>
      <c r="Q14" s="107">
        <v>446.1</v>
      </c>
      <c r="R14" s="100">
        <f t="shared" si="0"/>
        <v>0.16574759022640662</v>
      </c>
      <c r="S14" s="100">
        <f t="shared" si="1"/>
        <v>0.021833669580811475</v>
      </c>
      <c r="T14" s="108">
        <v>2707.871737615496</v>
      </c>
      <c r="U14" s="108">
        <f t="shared" si="2"/>
        <v>448.8232151519609</v>
      </c>
      <c r="V14" s="108">
        <f t="shared" si="3"/>
        <v>59.12277678631457</v>
      </c>
      <c r="X14" s="3" t="s">
        <v>30</v>
      </c>
      <c r="Y14" s="107">
        <v>446.1</v>
      </c>
      <c r="Z14" s="101">
        <f t="shared" si="4"/>
        <v>0.00828737951132033</v>
      </c>
      <c r="AA14" s="101">
        <f t="shared" si="5"/>
        <v>0.0010916834790405737</v>
      </c>
      <c r="AB14" s="108">
        <v>2707.871737615496</v>
      </c>
      <c r="AC14" s="108">
        <f t="shared" si="6"/>
        <v>22.441160757598045</v>
      </c>
      <c r="AD14" s="108">
        <f t="shared" si="7"/>
        <v>2.956138839315728</v>
      </c>
    </row>
    <row r="15" spans="2:30" ht="12.75">
      <c r="B15" s="3">
        <v>1962</v>
      </c>
      <c r="C15" s="99">
        <v>6003.5856545961005</v>
      </c>
      <c r="D15" s="99">
        <v>4167.599582172701</v>
      </c>
      <c r="E15" s="99">
        <v>10171.1852367688</v>
      </c>
      <c r="F15" s="101">
        <v>0.0032286821705426348</v>
      </c>
      <c r="G15" s="99">
        <v>55.24246908042984</v>
      </c>
      <c r="H15" s="3">
        <v>3261</v>
      </c>
      <c r="I15" s="102">
        <v>3.1190387110606563</v>
      </c>
      <c r="K15" s="3">
        <v>1962</v>
      </c>
      <c r="L15" s="98">
        <v>83.89473684210525</v>
      </c>
      <c r="M15" s="104">
        <v>0.02663105967879529</v>
      </c>
      <c r="N15" s="98">
        <v>455.65509801718144</v>
      </c>
      <c r="P15" s="3" t="s">
        <v>207</v>
      </c>
      <c r="Q15" s="107">
        <v>2076</v>
      </c>
      <c r="R15" s="100">
        <f t="shared" si="0"/>
        <v>0.035616570327552985</v>
      </c>
      <c r="S15" s="100">
        <f t="shared" si="1"/>
        <v>0.004691714836223507</v>
      </c>
      <c r="T15" s="108">
        <v>14684.064293227693</v>
      </c>
      <c r="U15" s="108">
        <f t="shared" si="2"/>
        <v>522.9960085940537</v>
      </c>
      <c r="V15" s="108">
        <f t="shared" si="3"/>
        <v>68.8934423005962</v>
      </c>
      <c r="X15" s="3" t="s">
        <v>207</v>
      </c>
      <c r="Y15" s="107">
        <v>2076</v>
      </c>
      <c r="Z15" s="101">
        <f t="shared" si="4"/>
        <v>0.0017808285163776493</v>
      </c>
      <c r="AA15" s="101">
        <f t="shared" si="5"/>
        <v>0.00023458574181117533</v>
      </c>
      <c r="AB15" s="108">
        <v>14684.064293227693</v>
      </c>
      <c r="AC15" s="108">
        <f t="shared" si="6"/>
        <v>26.149800429702687</v>
      </c>
      <c r="AD15" s="108">
        <f t="shared" si="7"/>
        <v>3.4446721150298103</v>
      </c>
    </row>
    <row r="16" spans="2:30" ht="12.75">
      <c r="B16" s="3">
        <v>1963</v>
      </c>
      <c r="C16" s="99">
        <v>5849.7826685006885</v>
      </c>
      <c r="D16" s="99">
        <v>4224.5385144429165</v>
      </c>
      <c r="E16" s="99">
        <v>10074.321182943604</v>
      </c>
      <c r="F16" s="101">
        <v>0.0030698179388675456</v>
      </c>
      <c r="G16" s="99">
        <v>54.012932886028594</v>
      </c>
      <c r="H16" s="3">
        <v>2072</v>
      </c>
      <c r="I16" s="102">
        <v>4.86212412304228</v>
      </c>
      <c r="K16" s="3">
        <v>1963</v>
      </c>
      <c r="L16" s="98">
        <v>70.47157894736841</v>
      </c>
      <c r="M16" s="104">
        <v>0.0214738951939729</v>
      </c>
      <c r="N16" s="98">
        <v>377.829592181465</v>
      </c>
      <c r="P16" s="3" t="s">
        <v>31</v>
      </c>
      <c r="Q16" s="107">
        <v>572.2</v>
      </c>
      <c r="R16" s="100">
        <f t="shared" si="0"/>
        <v>0.12922055225445647</v>
      </c>
      <c r="S16" s="100">
        <f t="shared" si="1"/>
        <v>0.017022020272631947</v>
      </c>
      <c r="T16" s="108">
        <v>20731.104388175547</v>
      </c>
      <c r="U16" s="108">
        <f t="shared" si="2"/>
        <v>2678.88475788483</v>
      </c>
      <c r="V16" s="108">
        <f t="shared" si="3"/>
        <v>352.88527916957327</v>
      </c>
      <c r="X16" s="3" t="s">
        <v>31</v>
      </c>
      <c r="Y16" s="107">
        <v>572.2</v>
      </c>
      <c r="Z16" s="101">
        <f t="shared" si="4"/>
        <v>0.006461027612722823</v>
      </c>
      <c r="AA16" s="101">
        <f t="shared" si="5"/>
        <v>0.0008511010136315973</v>
      </c>
      <c r="AB16" s="108">
        <v>20731.104388175547</v>
      </c>
      <c r="AC16" s="108">
        <f t="shared" si="6"/>
        <v>133.9442378942415</v>
      </c>
      <c r="AD16" s="108">
        <f t="shared" si="7"/>
        <v>17.644263958478664</v>
      </c>
    </row>
    <row r="17" spans="2:30" ht="12.75">
      <c r="B17" s="3">
        <v>1964</v>
      </c>
      <c r="C17" s="99">
        <v>4477.572723153602</v>
      </c>
      <c r="D17" s="99">
        <v>4682.871545083824</v>
      </c>
      <c r="E17" s="99">
        <v>9160.444268237427</v>
      </c>
      <c r="F17" s="101">
        <v>0.0026406933166770773</v>
      </c>
      <c r="G17" s="99">
        <v>48.48983878401464</v>
      </c>
      <c r="H17" s="3">
        <v>1597</v>
      </c>
      <c r="I17" s="102">
        <v>5.736032729015295</v>
      </c>
      <c r="K17" s="3">
        <v>1964</v>
      </c>
      <c r="L17" s="98">
        <v>60.404210526315794</v>
      </c>
      <c r="M17" s="104">
        <v>0.017412801209770214</v>
      </c>
      <c r="N17" s="98">
        <v>319.7432727638115</v>
      </c>
      <c r="P17" s="3" t="s">
        <v>34</v>
      </c>
      <c r="Q17" s="107">
        <v>1206</v>
      </c>
      <c r="R17" s="100">
        <f t="shared" si="0"/>
        <v>0.06131011608623549</v>
      </c>
      <c r="S17" s="100">
        <f t="shared" si="1"/>
        <v>0.008076285240464345</v>
      </c>
      <c r="T17" s="108">
        <v>24589.767842822857</v>
      </c>
      <c r="U17" s="108">
        <f t="shared" si="2"/>
        <v>1507.6015209770499</v>
      </c>
      <c r="V17" s="108">
        <f t="shared" si="3"/>
        <v>198.59397909543503</v>
      </c>
      <c r="X17" s="3" t="s">
        <v>34</v>
      </c>
      <c r="Y17" s="107">
        <v>1206</v>
      </c>
      <c r="Z17" s="101">
        <f t="shared" si="4"/>
        <v>0.0030655058043117744</v>
      </c>
      <c r="AA17" s="101">
        <f t="shared" si="5"/>
        <v>0.00040381426202321726</v>
      </c>
      <c r="AB17" s="108">
        <v>24589.767842822857</v>
      </c>
      <c r="AC17" s="108">
        <f t="shared" si="6"/>
        <v>75.38007604885249</v>
      </c>
      <c r="AD17" s="108">
        <f t="shared" si="7"/>
        <v>9.929698954771752</v>
      </c>
    </row>
    <row r="18" spans="2:30" ht="12.75">
      <c r="B18" s="3">
        <v>1965</v>
      </c>
      <c r="C18" s="99">
        <v>3703.1211581291755</v>
      </c>
      <c r="D18" s="99">
        <v>4406.043207126949</v>
      </c>
      <c r="E18" s="99">
        <v>8109.164365256124</v>
      </c>
      <c r="F18" s="101">
        <v>0.002216271285111337</v>
      </c>
      <c r="G18" s="99">
        <v>42.3869841992697</v>
      </c>
      <c r="H18" s="3">
        <v>926</v>
      </c>
      <c r="I18" s="102">
        <v>8.757196938721517</v>
      </c>
      <c r="K18" s="3">
        <v>1965</v>
      </c>
      <c r="L18" s="98">
        <v>41.94736842105262</v>
      </c>
      <c r="M18" s="104">
        <v>0.011464405446741578</v>
      </c>
      <c r="N18" s="98">
        <v>219.26087108088157</v>
      </c>
      <c r="P18" s="3" t="s">
        <v>291</v>
      </c>
      <c r="Q18" s="107">
        <v>83</v>
      </c>
      <c r="R18" s="100">
        <f t="shared" si="0"/>
        <v>0.8908433734939759</v>
      </c>
      <c r="S18" s="100">
        <f t="shared" si="1"/>
        <v>0.11734939759036145</v>
      </c>
      <c r="T18" s="108">
        <v>4300</v>
      </c>
      <c r="U18" s="108">
        <f t="shared" si="2"/>
        <v>3830.626506024096</v>
      </c>
      <c r="V18" s="108">
        <f t="shared" si="3"/>
        <v>504.6024096385542</v>
      </c>
      <c r="X18" s="3" t="s">
        <v>291</v>
      </c>
      <c r="Y18" s="107">
        <v>83</v>
      </c>
      <c r="Z18" s="101">
        <f t="shared" si="4"/>
        <v>0.0445421686746988</v>
      </c>
      <c r="AA18" s="101">
        <f t="shared" si="5"/>
        <v>0.005867469879518072</v>
      </c>
      <c r="AB18" s="108">
        <v>4300</v>
      </c>
      <c r="AC18" s="108">
        <f t="shared" si="6"/>
        <v>191.53132530120482</v>
      </c>
      <c r="AD18" s="108">
        <f t="shared" si="7"/>
        <v>25.23012048192771</v>
      </c>
    </row>
    <row r="19" spans="3:30" ht="12.75">
      <c r="C19" s="99"/>
      <c r="D19" s="99"/>
      <c r="E19" s="99"/>
      <c r="F19" s="101"/>
      <c r="G19" s="99"/>
      <c r="I19" s="102"/>
      <c r="K19" s="3" t="s">
        <v>222</v>
      </c>
      <c r="L19" s="98">
        <v>1109.0884210526315</v>
      </c>
      <c r="M19" s="105" t="s">
        <v>244</v>
      </c>
      <c r="N19" s="106" t="s">
        <v>244</v>
      </c>
      <c r="P19" s="3" t="s">
        <v>35</v>
      </c>
      <c r="Q19" s="107">
        <v>690.1</v>
      </c>
      <c r="R19" s="100">
        <f t="shared" si="0"/>
        <v>0.10714389218953774</v>
      </c>
      <c r="S19" s="100">
        <f t="shared" si="1"/>
        <v>0.014113896536733806</v>
      </c>
      <c r="T19" s="108">
        <v>30189.591157428942</v>
      </c>
      <c r="U19" s="108">
        <f t="shared" si="2"/>
        <v>3234.6303002177883</v>
      </c>
      <c r="V19" s="108">
        <f t="shared" si="3"/>
        <v>426.0927660822459</v>
      </c>
      <c r="X19" s="3" t="s">
        <v>35</v>
      </c>
      <c r="Y19" s="107">
        <v>690.1</v>
      </c>
      <c r="Z19" s="101">
        <f t="shared" si="4"/>
        <v>0.0053571946094768865</v>
      </c>
      <c r="AA19" s="101">
        <f t="shared" si="5"/>
        <v>0.0007056948268366902</v>
      </c>
      <c r="AB19" s="108">
        <v>30189.591157428942</v>
      </c>
      <c r="AC19" s="108">
        <f t="shared" si="6"/>
        <v>161.7315150108894</v>
      </c>
      <c r="AD19" s="108">
        <f t="shared" si="7"/>
        <v>21.304638304112295</v>
      </c>
    </row>
    <row r="20" spans="2:30" ht="12.75">
      <c r="B20" s="3" t="s">
        <v>222</v>
      </c>
      <c r="C20" s="99">
        <v>102549.51948629526</v>
      </c>
      <c r="D20" s="99">
        <v>42533.0059773753</v>
      </c>
      <c r="E20" s="99">
        <v>146107.37191089714</v>
      </c>
      <c r="F20" s="101" t="s">
        <v>244</v>
      </c>
      <c r="G20" s="99">
        <v>848.7718820593764</v>
      </c>
      <c r="H20" s="3">
        <v>31613</v>
      </c>
      <c r="I20" s="102" t="s">
        <v>244</v>
      </c>
      <c r="K20" s="3" t="s">
        <v>223</v>
      </c>
      <c r="L20" s="98">
        <v>73.93922807017543</v>
      </c>
      <c r="M20" s="104">
        <v>0.026885739178256887</v>
      </c>
      <c r="N20" s="98">
        <v>429.51453525371033</v>
      </c>
      <c r="P20" s="3" t="s">
        <v>32</v>
      </c>
      <c r="Q20" s="107">
        <v>667.7</v>
      </c>
      <c r="R20" s="100">
        <f t="shared" si="0"/>
        <v>0.1107383555488992</v>
      </c>
      <c r="S20" s="100">
        <f t="shared" si="1"/>
        <v>0.014587389546203384</v>
      </c>
      <c r="T20" s="108">
        <v>9383.258790741202</v>
      </c>
      <c r="U20" s="108">
        <f t="shared" si="2"/>
        <v>1039.086648176433</v>
      </c>
      <c r="V20" s="108">
        <f t="shared" si="3"/>
        <v>136.8772511933792</v>
      </c>
      <c r="X20" s="3" t="s">
        <v>32</v>
      </c>
      <c r="Y20" s="107">
        <v>667.7</v>
      </c>
      <c r="Z20" s="101">
        <f t="shared" si="4"/>
        <v>0.00553691777744496</v>
      </c>
      <c r="AA20" s="101">
        <f t="shared" si="5"/>
        <v>0.0007293694773101691</v>
      </c>
      <c r="AB20" s="108">
        <v>9383.258790741202</v>
      </c>
      <c r="AC20" s="108">
        <f t="shared" si="6"/>
        <v>51.95433240882166</v>
      </c>
      <c r="AD20" s="108">
        <f t="shared" si="7"/>
        <v>6.843862559668961</v>
      </c>
    </row>
    <row r="21" spans="2:30" ht="12.75">
      <c r="B21" s="3" t="s">
        <v>223</v>
      </c>
      <c r="C21" s="99">
        <v>6836.634632419684</v>
      </c>
      <c r="D21" s="99">
        <v>2835.53373182502</v>
      </c>
      <c r="E21" s="99">
        <v>9740.491460726476</v>
      </c>
      <c r="F21" s="101">
        <v>0.0035321809188872386</v>
      </c>
      <c r="G21" s="99">
        <v>56.58479213729176</v>
      </c>
      <c r="H21" s="103">
        <v>2107.5333333333333</v>
      </c>
      <c r="I21" s="102">
        <v>10.945471306473225</v>
      </c>
      <c r="P21" s="3" t="s">
        <v>33</v>
      </c>
      <c r="Q21" s="107">
        <v>2147</v>
      </c>
      <c r="R21" s="100">
        <f t="shared" si="0"/>
        <v>0.0344387517466232</v>
      </c>
      <c r="S21" s="100">
        <f t="shared" si="1"/>
        <v>0.004536562645551933</v>
      </c>
      <c r="T21" s="108">
        <v>35326.30631069992</v>
      </c>
      <c r="U21" s="108">
        <f t="shared" si="2"/>
        <v>1216.5938931593628</v>
      </c>
      <c r="V21" s="108">
        <f t="shared" si="3"/>
        <v>160.26000161444676</v>
      </c>
      <c r="X21" s="3" t="s">
        <v>33</v>
      </c>
      <c r="Y21" s="107">
        <v>2147</v>
      </c>
      <c r="Z21" s="101">
        <f t="shared" si="4"/>
        <v>0.0017219375873311598</v>
      </c>
      <c r="AA21" s="101">
        <f t="shared" si="5"/>
        <v>0.00022682813227759666</v>
      </c>
      <c r="AB21" s="108">
        <v>35326.30631069992</v>
      </c>
      <c r="AC21" s="108">
        <f t="shared" si="6"/>
        <v>60.82969465796814</v>
      </c>
      <c r="AD21" s="108">
        <f t="shared" si="7"/>
        <v>8.013000080722339</v>
      </c>
    </row>
    <row r="22" ht="12.75">
      <c r="AC22" s="108"/>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5"/>
  <sheetViews>
    <sheetView workbookViewId="0" topLeftCell="A1">
      <selection activeCell="H1" sqref="H1"/>
    </sheetView>
  </sheetViews>
  <sheetFormatPr defaultColWidth="9.140625" defaultRowHeight="12.75"/>
  <cols>
    <col min="2" max="2" width="15.421875" style="0" bestFit="1" customWidth="1"/>
    <col min="3" max="3" width="15.8515625" style="0" bestFit="1" customWidth="1"/>
    <col min="5" max="5" width="13.140625" style="0" bestFit="1" customWidth="1"/>
  </cols>
  <sheetData>
    <row r="1" ht="12.75">
      <c r="A1" t="s">
        <v>290</v>
      </c>
    </row>
    <row r="2" spans="2:10" ht="12.75">
      <c r="B2" t="s">
        <v>283</v>
      </c>
      <c r="C2" t="s">
        <v>284</v>
      </c>
      <c r="D2" t="s">
        <v>222</v>
      </c>
      <c r="E2" t="s">
        <v>288</v>
      </c>
      <c r="F2" t="s">
        <v>289</v>
      </c>
      <c r="G2" t="s">
        <v>267</v>
      </c>
      <c r="H2" t="s">
        <v>219</v>
      </c>
      <c r="I2" t="s">
        <v>268</v>
      </c>
      <c r="J2" t="s">
        <v>251</v>
      </c>
    </row>
    <row r="3" spans="1:10" ht="12.75">
      <c r="A3" t="s">
        <v>287</v>
      </c>
      <c r="B3">
        <v>4</v>
      </c>
      <c r="C3">
        <v>7</v>
      </c>
      <c r="D3">
        <v>11</v>
      </c>
      <c r="E3">
        <v>0.74</v>
      </c>
      <c r="F3">
        <f>D3/E3</f>
        <v>14.864864864864865</v>
      </c>
      <c r="G3" s="6">
        <v>0.6229</v>
      </c>
      <c r="H3" s="11">
        <f>F3/G3</f>
        <v>23.863966711935888</v>
      </c>
      <c r="I3">
        <v>1.1955</v>
      </c>
      <c r="J3" s="11">
        <f>H3*I3</f>
        <v>28.529372204119355</v>
      </c>
    </row>
    <row r="4" spans="1:10" ht="12.75">
      <c r="A4" t="s">
        <v>285</v>
      </c>
      <c r="B4">
        <v>7.5</v>
      </c>
      <c r="C4">
        <v>8.5</v>
      </c>
      <c r="D4">
        <v>16</v>
      </c>
      <c r="E4">
        <v>0.74</v>
      </c>
      <c r="F4">
        <f>D4/E4</f>
        <v>21.62162162162162</v>
      </c>
      <c r="G4" s="6">
        <v>0.6229</v>
      </c>
      <c r="H4" s="11">
        <f>F4/G4</f>
        <v>34.71122430827038</v>
      </c>
      <c r="I4">
        <v>1.1955</v>
      </c>
      <c r="J4" s="11">
        <f>H4*I4</f>
        <v>41.497268660537245</v>
      </c>
    </row>
    <row r="5" ht="12.75">
      <c r="A5" t="s">
        <v>286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dlindley</dc:creator>
  <cp:keywords/>
  <dc:description/>
  <cp:lastModifiedBy>A&amp;L User</cp:lastModifiedBy>
  <cp:lastPrinted>2006-09-21T05:12:55Z</cp:lastPrinted>
  <dcterms:created xsi:type="dcterms:W3CDTF">2006-08-03T14:42:17Z</dcterms:created>
  <dcterms:modified xsi:type="dcterms:W3CDTF">2008-05-05T18:24:43Z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